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PAGAR'!$A$1:$P$44</definedName>
    <definedName name="_xlnm.Print_Area" localSheetId="1">'Gastos Dane '!$A$1:$AP$84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<sst xmlns="http://schemas.openxmlformats.org/spreadsheetml/2006/main" count="407" uniqueCount="174">
  <si>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</si>
  <si>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</si>
  <si>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</si>
  <si>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</si>
  <si>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</si>
  <si>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</si>
  <si>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</si>
  <si>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</si>
  <si>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</si>
  <si>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</si>
  <si>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</si>
  <si>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</si>
  <si>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</si>
  <si>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</si>
  <si>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</si>
  <si>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</si>
  <si>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</si>
  <si>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</si>
  <si>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</si>
  <si>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</si>
  <si>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</si>
  <si>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</si>
  <si>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</si>
  <si>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</si>
  <si>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</si>
  <si>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</si>
  <si>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</si>
  <si>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</si>
  <si>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</si>
  <si>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</si>
  <si>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</si>
  <si>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</si>
  <si>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</si>
  <si>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</si>
  <si>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</si>
  <si>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</si>
  <si>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</si>
  <si>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</si>
  <si>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</si>
  <si>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</si>
  <si>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</si>
  <si>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</si>
  <si>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</si>
  <si>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</si>
  <si>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</si>
  <si>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</si>
  <si>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</si>
  <si>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</si>
  <si>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</si>
  <si>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</si>
  <si>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</si>
  <si>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</si>
  <si>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</si>
  <si>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</si>
  <si>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</si>
  <si>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</si>
  <si>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</si>
  <si>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</si>
  <si>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</si>
  <si>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</si>
  <si>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</si>
  <si>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</si>
  <si>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</si>
  <si>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</si>
  <si>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</si>
  <si>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</si>
  <si>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</si>
  <si>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</si>
  <si>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</si>
  <si>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</si>
  <si>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</si>
  <si>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</si>
  <si>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</si>
  <si>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</si>
  <si>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</si>
  <si>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</si>
  <si>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</si>
  <si>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</si>
  <si>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</si>
  <si>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</si>
  <si>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</si>
  <si>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</si>
  <si>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</si>
  <si>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</si>
  <si>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</si>
  <si>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</si>
  <si>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</si>
  <si>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</si>
  <si>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</si>
  <si>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</si>
  <si>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</si>
  <si>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</si>
  <si>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</si>
  <si>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</si>
  <si>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</si>
  <si>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</si>
  <si>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</si>
  <si>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</si>
  <si>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</si>
  <si>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</si>
  <si>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</si>
  <si>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</si>
  <si>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</si>
  <si>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</si>
  <si>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</si>
  <si>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</si>
  <si>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</si>
  <si>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</si>
  <si>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</si>
  <si>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</si>
  <si>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</si>
  <si>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</si>
  <si>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</si>
  <si>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</si>
  <si>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</si>
  <si>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</si>
  <si>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</si>
  <si>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</si>
  <si>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</si>
  <si>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</si>
  <si>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</si>
  <si>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</si>
  <si>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</si>
  <si>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</si>
  <si>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</si>
  <si>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</si>
  <si>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</si>
  <si>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</si>
  <si>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</si>
  <si>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</si>
  <si>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</si>
  <si>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</si>
  <si>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</si>
  <si>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</si>
  <si>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</si>
  <si>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</si>
  <si>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</si>
  <si>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</si>
  <si>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</si>
  <si>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</si>
  <si>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</si>
  <si>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</si>
  <si>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</si>
  <si>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</si>
  <si>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</si>
  <si>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</si>
  <si>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</si>
  <si>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</si>
  <si>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</si>
  <si>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</si>
  <si>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</si>
  <si>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</si>
  <si>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</si>
  <si>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</si>
  <si>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</si>
  <si>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</si>
  <si>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</si>
  <si>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</si>
  <si>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</si>
  <si>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SERVICIOS PERSONALES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</si>
  <si>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</si>
  <si>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</si>
  <si>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</si>
  <si>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</si>
  <si>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</si>
  <si>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</si>
  <si>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</si>
  <si>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</si>
  <si>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</si>
  <si>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</si>
  <si>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ANALISIS PARA LA ELAB. DEL DISEÑO DEL TERCER CENSO  NAL. AGROPECUARIO</t>
  </si>
  <si>
    <t>C|530|1000|40|2|11</t>
  </si>
  <si>
    <t>A OCTUBRE</t>
  </si>
  <si>
    <t xml:space="preserve">NOTA: MEDIANTE RESOLUCION No.1284 DE FECHA 7 DE OCTUBRE DE 2011, SE MODIFICA LA DESAGREGACION DEL PRESUPUESTO DE GASTOS DE PERSONAL DEL DANE, POR VALOR  DE $10.000.000, DE  SUELDOS A INCAPACIDADES Y LICENCIA DE MARTERNIDAD, Y POR RESOLUCION No. 1364 DE FECHA 20 OCTUBRE DE 2011, SE MODIFICA LA DESAGREGACION DEL PRESUPUESTO DE GASTOS GENERALES DEL DANE, POR VALOR DE $$15.695.568, ASI: DE MANTENIMIENTO $3.951|.769, IMPRESOS Y PUBLICACIONES $1.145.313,  SERVICIOS PUBLICOS $10.498.486  Y ARRENDAMIENTOS $100.000 A COMPRA DE EQUIPO $4.094.000, ENSERES Y EQUIPO DE OFICINA $4.500.000 Y MATERIALES Y SUMINISTROS  $7.101.568.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</si>
</sst>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34" borderId="46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R49" sqref="R49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8" width="11.421875" style="1" customWidth="1"/>
    <col min="19" max="19" width="23.28125" style="1" customWidth="1"/>
    <col min="20" max="20" width="14.421875" style="1" customWidth="1"/>
    <col min="21" max="16384" width="11.421875" style="1" customWidth="1"/>
  </cols>
  <sheetData>
    <row r="1" spans="1:16" s="22" customFormat="1" ht="1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s="22" customFormat="1" ht="1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s="22" customFormat="1" ht="15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</row>
    <row r="4" spans="1:16" s="22" customFormat="1" ht="15">
      <c r="A4" s="135" t="s">
        <v>129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s="22" customFormat="1" ht="15">
      <c r="A5" s="135" t="s">
        <v>38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20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T6" s="44"/>
    </row>
    <row r="7" spans="1:16" s="22" customFormat="1" ht="15">
      <c r="A7" s="141" t="s">
        <v>2</v>
      </c>
      <c r="B7" s="142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172</v>
      </c>
    </row>
    <row r="8" spans="1:16" s="22" customFormat="1" ht="15" customHeight="1" thickBot="1">
      <c r="A8" s="141" t="s">
        <v>3</v>
      </c>
      <c r="B8" s="142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2011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>SUM(C16+C17)</f>
        <v>107341005</v>
      </c>
      <c r="D14" s="36">
        <f aca="true" t="shared" si="0" ref="D14:O14">SUM(D17)</f>
        <v>0</v>
      </c>
      <c r="E14" s="36">
        <f>SUM(E16+E17)</f>
        <v>107341005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>SUM(P16+P17)</f>
        <v>107341005</v>
      </c>
    </row>
    <row r="15" spans="1:16" s="14" customFormat="1" ht="12.75">
      <c r="A15" s="34"/>
      <c r="B15" s="35" t="s">
        <v>42</v>
      </c>
      <c r="C15" s="36">
        <f aca="true" t="shared" si="1" ref="C15:P15">SUM(C16:C16)</f>
        <v>11926290</v>
      </c>
      <c r="D15" s="36">
        <f t="shared" si="1"/>
        <v>0</v>
      </c>
      <c r="E15" s="36">
        <f t="shared" si="1"/>
        <v>11926290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11926290</v>
      </c>
    </row>
    <row r="16" spans="1:16" s="12" customFormat="1" ht="13.5" thickBot="1">
      <c r="A16" s="15" t="s">
        <v>158</v>
      </c>
      <c r="B16" s="40" t="s">
        <v>159</v>
      </c>
      <c r="C16" s="41">
        <v>11926290</v>
      </c>
      <c r="D16" s="41">
        <v>0</v>
      </c>
      <c r="E16" s="42">
        <v>11926290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3">
        <f>SUM(D16:O16)</f>
        <v>11926290</v>
      </c>
    </row>
    <row r="17" spans="1:16" s="14" customFormat="1" ht="13.5" thickBot="1">
      <c r="A17" s="21"/>
      <c r="B17" s="46" t="s">
        <v>43</v>
      </c>
      <c r="C17" s="47">
        <f aca="true" t="shared" si="2" ref="C17:P17">SUM(C18:C19)</f>
        <v>95414715</v>
      </c>
      <c r="D17" s="47">
        <f t="shared" si="2"/>
        <v>0</v>
      </c>
      <c r="E17" s="47">
        <f t="shared" si="2"/>
        <v>95414715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95414715</v>
      </c>
    </row>
    <row r="18" spans="1:16" s="14" customFormat="1" ht="12.75">
      <c r="A18" s="16" t="s">
        <v>142</v>
      </c>
      <c r="B18" s="48" t="s">
        <v>156</v>
      </c>
      <c r="C18" s="90">
        <v>22803430</v>
      </c>
      <c r="D18" s="90">
        <v>0</v>
      </c>
      <c r="E18" s="90">
        <v>22803430</v>
      </c>
      <c r="F18" s="90">
        <v>0</v>
      </c>
      <c r="G18" s="90"/>
      <c r="H18" s="90">
        <v>0</v>
      </c>
      <c r="I18" s="90"/>
      <c r="J18" s="90"/>
      <c r="K18" s="90">
        <v>0</v>
      </c>
      <c r="L18" s="90">
        <v>0</v>
      </c>
      <c r="M18" s="90"/>
      <c r="N18" s="90"/>
      <c r="O18" s="90"/>
      <c r="P18" s="51">
        <f>SUM(D18:O18)</f>
        <v>22803430</v>
      </c>
    </row>
    <row r="19" spans="1:16" s="12" customFormat="1" ht="13.5" thickBot="1">
      <c r="A19" s="16" t="s">
        <v>111</v>
      </c>
      <c r="B19" s="48" t="s">
        <v>141</v>
      </c>
      <c r="C19" s="49">
        <v>72611285</v>
      </c>
      <c r="D19" s="49">
        <v>0</v>
      </c>
      <c r="E19" s="42">
        <v>72611285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1">
        <f>SUM(D19:O19)</f>
        <v>72611285</v>
      </c>
    </row>
    <row r="20" spans="1:16" s="14" customFormat="1" ht="13.5" hidden="1" thickBot="1">
      <c r="A20" s="21"/>
      <c r="B20" s="46" t="s">
        <v>44</v>
      </c>
      <c r="C20" s="47">
        <f aca="true" t="shared" si="3" ref="C20:P20">SUM(C21:C22)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47">
        <f t="shared" si="3"/>
        <v>0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37">
        <f t="shared" si="3"/>
        <v>0</v>
      </c>
    </row>
    <row r="21" spans="1:16" s="12" customFormat="1" ht="13.5" hidden="1" thickBot="1">
      <c r="A21" s="68" t="s">
        <v>40</v>
      </c>
      <c r="B21" s="52" t="s">
        <v>46</v>
      </c>
      <c r="C21" s="53"/>
      <c r="D21" s="41">
        <v>0</v>
      </c>
      <c r="E21" s="42"/>
      <c r="F21" s="41"/>
      <c r="G21" s="41"/>
      <c r="H21" s="41"/>
      <c r="I21" s="41"/>
      <c r="J21" s="41"/>
      <c r="K21" s="41"/>
      <c r="L21" s="53"/>
      <c r="M21" s="42"/>
      <c r="N21" s="41"/>
      <c r="O21" s="41"/>
      <c r="P21" s="43">
        <f>SUM(D21:O21)</f>
        <v>0</v>
      </c>
    </row>
    <row r="22" spans="1:16" s="12" customFormat="1" ht="13.5" hidden="1" thickBot="1">
      <c r="A22" s="15" t="s">
        <v>50</v>
      </c>
      <c r="B22" s="40" t="s">
        <v>49</v>
      </c>
      <c r="C22" s="41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4" customFormat="1" ht="18" customHeight="1" thickBot="1">
      <c r="A23" s="21"/>
      <c r="B23" s="46" t="s">
        <v>148</v>
      </c>
      <c r="C23" s="47">
        <f aca="true" t="shared" si="4" ref="C23:P23">SUM(C24:C35)</f>
        <v>4957755834.999999</v>
      </c>
      <c r="D23" s="47">
        <f t="shared" si="4"/>
        <v>0</v>
      </c>
      <c r="E23" s="47">
        <f t="shared" si="4"/>
        <v>4956662799.999999</v>
      </c>
      <c r="F23" s="47">
        <f t="shared" si="4"/>
        <v>0</v>
      </c>
      <c r="G23" s="47">
        <f t="shared" si="4"/>
        <v>0</v>
      </c>
      <c r="H23" s="47">
        <f t="shared" si="4"/>
        <v>1093035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4957755834.999999</v>
      </c>
    </row>
    <row r="24" spans="1:16" s="10" customFormat="1" ht="12.75">
      <c r="A24" s="83" t="s">
        <v>116</v>
      </c>
      <c r="B24" s="13" t="s">
        <v>115</v>
      </c>
      <c r="C24" s="53">
        <f>603454025.36+1551062</f>
        <v>605005087.36</v>
      </c>
      <c r="D24" s="44">
        <v>0</v>
      </c>
      <c r="E24" s="53">
        <v>605005087.36</v>
      </c>
      <c r="F24" s="53">
        <v>0</v>
      </c>
      <c r="G24" s="44">
        <v>0</v>
      </c>
      <c r="H24" s="49">
        <v>0</v>
      </c>
      <c r="I24" s="49">
        <v>0</v>
      </c>
      <c r="J24" s="49">
        <v>0</v>
      </c>
      <c r="K24" s="41">
        <v>0</v>
      </c>
      <c r="L24" s="41">
        <v>0</v>
      </c>
      <c r="M24" s="41">
        <v>0</v>
      </c>
      <c r="N24" s="41">
        <v>0</v>
      </c>
      <c r="O24" s="49">
        <v>0</v>
      </c>
      <c r="P24" s="43">
        <f>SUM(D24:O24)</f>
        <v>605005087.36</v>
      </c>
    </row>
    <row r="25" spans="1:16" s="10" customFormat="1" ht="12.75">
      <c r="A25" s="83" t="s">
        <v>117</v>
      </c>
      <c r="B25" s="13" t="s">
        <v>126</v>
      </c>
      <c r="C25" s="109">
        <v>548112865.7</v>
      </c>
      <c r="D25" s="109">
        <v>0</v>
      </c>
      <c r="E25" s="109">
        <f>547384175.7</f>
        <v>547384175.7</v>
      </c>
      <c r="F25" s="109">
        <v>0</v>
      </c>
      <c r="G25" s="109">
        <v>0</v>
      </c>
      <c r="H25" s="44">
        <v>728690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/>
      <c r="O25" s="44"/>
      <c r="P25" s="43">
        <f aca="true" t="shared" si="5" ref="P25:P35">SUM(D25:O25)</f>
        <v>548112865.7</v>
      </c>
    </row>
    <row r="26" spans="1:16" s="10" customFormat="1" ht="12.75">
      <c r="A26" s="83" t="s">
        <v>118</v>
      </c>
      <c r="B26" s="13" t="s">
        <v>127</v>
      </c>
      <c r="C26" s="110">
        <v>815331262.99</v>
      </c>
      <c r="D26" s="110">
        <v>0</v>
      </c>
      <c r="E26" s="110">
        <f>814966917.99</f>
        <v>814966917.99</v>
      </c>
      <c r="F26" s="110">
        <v>0</v>
      </c>
      <c r="G26" s="110">
        <v>0</v>
      </c>
      <c r="H26" s="44">
        <v>364345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/>
      <c r="O26" s="44"/>
      <c r="P26" s="43">
        <f t="shared" si="5"/>
        <v>815331262.99</v>
      </c>
    </row>
    <row r="27" spans="1:16" s="10" customFormat="1" ht="12.75">
      <c r="A27" s="83" t="s">
        <v>119</v>
      </c>
      <c r="B27" s="13" t="s">
        <v>133</v>
      </c>
      <c r="C27" s="110">
        <v>75589056.32</v>
      </c>
      <c r="D27" s="110">
        <v>0</v>
      </c>
      <c r="E27" s="110">
        <f>75589056.32</f>
        <v>75589056.32</v>
      </c>
      <c r="F27" s="110">
        <v>0</v>
      </c>
      <c r="G27" s="110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/>
      <c r="O27" s="44"/>
      <c r="P27" s="43">
        <f t="shared" si="5"/>
        <v>75589056.32</v>
      </c>
    </row>
    <row r="28" spans="1:16" s="10" customFormat="1" ht="12.75">
      <c r="A28" s="83" t="s">
        <v>120</v>
      </c>
      <c r="B28" s="13" t="s">
        <v>134</v>
      </c>
      <c r="C28" s="110">
        <v>275891685</v>
      </c>
      <c r="D28" s="110">
        <v>0</v>
      </c>
      <c r="E28" s="110">
        <f>275891685</f>
        <v>275891685</v>
      </c>
      <c r="F28" s="110">
        <v>0</v>
      </c>
      <c r="G28" s="110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/>
      <c r="O28" s="44"/>
      <c r="P28" s="43">
        <f t="shared" si="5"/>
        <v>275891685</v>
      </c>
    </row>
    <row r="29" spans="1:16" s="10" customFormat="1" ht="12.75">
      <c r="A29" s="83" t="s">
        <v>121</v>
      </c>
      <c r="B29" s="13" t="s">
        <v>135</v>
      </c>
      <c r="C29" s="110">
        <v>1387157174.86</v>
      </c>
      <c r="D29" s="110">
        <v>0</v>
      </c>
      <c r="E29" s="110">
        <f>1387157174.86</f>
        <v>1387157174.86</v>
      </c>
      <c r="F29" s="110">
        <v>0</v>
      </c>
      <c r="G29" s="110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/>
      <c r="O29" s="44"/>
      <c r="P29" s="43">
        <f t="shared" si="5"/>
        <v>1387157174.86</v>
      </c>
    </row>
    <row r="30" spans="1:16" s="10" customFormat="1" ht="12.75">
      <c r="A30" s="83" t="s">
        <v>122</v>
      </c>
      <c r="B30" s="13" t="s">
        <v>136</v>
      </c>
      <c r="C30" s="110">
        <v>13834001.77</v>
      </c>
      <c r="D30" s="110">
        <v>0</v>
      </c>
      <c r="E30" s="110">
        <f>13834001.77</f>
        <v>13834001.77</v>
      </c>
      <c r="F30" s="110">
        <v>0</v>
      </c>
      <c r="G30" s="110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/>
      <c r="O30" s="44"/>
      <c r="P30" s="43">
        <f t="shared" si="5"/>
        <v>13834001.77</v>
      </c>
    </row>
    <row r="31" spans="1:16" s="10" customFormat="1" ht="12.75">
      <c r="A31" s="83" t="s">
        <v>123</v>
      </c>
      <c r="B31" s="13" t="s">
        <v>160</v>
      </c>
      <c r="C31" s="110">
        <v>233148033.21</v>
      </c>
      <c r="D31" s="110">
        <v>0</v>
      </c>
      <c r="E31" s="110">
        <v>233148033.21</v>
      </c>
      <c r="F31" s="110">
        <v>0</v>
      </c>
      <c r="G31" s="110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/>
      <c r="O31" s="44"/>
      <c r="P31" s="43">
        <f>SUM(D31:O31)</f>
        <v>233148033.21</v>
      </c>
    </row>
    <row r="32" spans="1:16" s="10" customFormat="1" ht="12.75">
      <c r="A32" s="83" t="s">
        <v>124</v>
      </c>
      <c r="B32" s="13" t="s">
        <v>138</v>
      </c>
      <c r="C32" s="110">
        <f>165022738.26+67068</f>
        <v>165089806.26</v>
      </c>
      <c r="D32" s="110">
        <v>0</v>
      </c>
      <c r="E32" s="110">
        <f>165022738.26+67068</f>
        <v>165089806.26</v>
      </c>
      <c r="F32" s="110">
        <v>0</v>
      </c>
      <c r="G32" s="110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/>
      <c r="O32" s="44"/>
      <c r="P32" s="43">
        <f t="shared" si="5"/>
        <v>165089806.26</v>
      </c>
    </row>
    <row r="33" spans="1:16" s="10" customFormat="1" ht="12.75">
      <c r="A33" s="83" t="s">
        <v>125</v>
      </c>
      <c r="B33" s="13" t="s">
        <v>139</v>
      </c>
      <c r="C33" s="110">
        <v>132737602.35</v>
      </c>
      <c r="D33" s="110">
        <v>0</v>
      </c>
      <c r="E33" s="110">
        <f>132737602.35</f>
        <v>132737602.35</v>
      </c>
      <c r="F33" s="110">
        <v>0</v>
      </c>
      <c r="G33" s="110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/>
      <c r="O33" s="44"/>
      <c r="P33" s="43">
        <f t="shared" si="5"/>
        <v>132737602.35</v>
      </c>
    </row>
    <row r="34" spans="1:16" s="10" customFormat="1" ht="12.75">
      <c r="A34" s="83" t="s">
        <v>132</v>
      </c>
      <c r="B34" s="13" t="s">
        <v>140</v>
      </c>
      <c r="C34" s="58">
        <v>239917942.01</v>
      </c>
      <c r="D34" s="58">
        <v>0</v>
      </c>
      <c r="E34" s="58">
        <f>239917942.01</f>
        <v>239917942.01</v>
      </c>
      <c r="F34" s="58">
        <v>0</v>
      </c>
      <c r="G34" s="58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/>
      <c r="O34" s="44"/>
      <c r="P34" s="43">
        <f>SUM(D34:O34)</f>
        <v>239917942.01</v>
      </c>
    </row>
    <row r="35" spans="1:16" s="10" customFormat="1" ht="13.5" thickBot="1">
      <c r="A35" s="83" t="s">
        <v>143</v>
      </c>
      <c r="B35" s="13" t="s">
        <v>162</v>
      </c>
      <c r="C35" s="44">
        <v>465941317.17</v>
      </c>
      <c r="D35" s="44">
        <v>0</v>
      </c>
      <c r="E35" s="44">
        <f>465941317.17</f>
        <v>465941317.17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/>
      <c r="O35" s="44"/>
      <c r="P35" s="43">
        <f t="shared" si="5"/>
        <v>465941317.17</v>
      </c>
    </row>
    <row r="36" spans="1:16" s="11" customFormat="1" ht="13.5" thickBot="1">
      <c r="A36" s="143" t="s">
        <v>33</v>
      </c>
      <c r="B36" s="144"/>
      <c r="C36" s="47">
        <f aca="true" t="shared" si="6" ref="C36:P36">SUM(C14+C23)</f>
        <v>5065096839.999999</v>
      </c>
      <c r="D36" s="47">
        <f t="shared" si="6"/>
        <v>0</v>
      </c>
      <c r="E36" s="47">
        <f t="shared" si="6"/>
        <v>5064003804.999999</v>
      </c>
      <c r="F36" s="47">
        <f t="shared" si="6"/>
        <v>0</v>
      </c>
      <c r="G36" s="47">
        <f t="shared" si="6"/>
        <v>0</v>
      </c>
      <c r="H36" s="47">
        <f t="shared" si="6"/>
        <v>1093035</v>
      </c>
      <c r="I36" s="47">
        <f t="shared" si="6"/>
        <v>0</v>
      </c>
      <c r="J36" s="47">
        <f t="shared" si="6"/>
        <v>0</v>
      </c>
      <c r="K36" s="47">
        <f t="shared" si="6"/>
        <v>0</v>
      </c>
      <c r="L36" s="47">
        <f t="shared" si="6"/>
        <v>0</v>
      </c>
      <c r="M36" s="47">
        <f t="shared" si="6"/>
        <v>0</v>
      </c>
      <c r="N36" s="47">
        <f t="shared" si="6"/>
        <v>0</v>
      </c>
      <c r="O36" s="47">
        <f t="shared" si="6"/>
        <v>0</v>
      </c>
      <c r="P36" s="47">
        <f t="shared" si="6"/>
        <v>5065096839.999999</v>
      </c>
    </row>
    <row r="37" spans="1:16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0"/>
      <c r="B39" s="5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9" ht="15.75" thickBot="1">
      <c r="A43" s="3"/>
      <c r="B43" s="6"/>
      <c r="C43" s="2"/>
      <c r="D43" s="138"/>
      <c r="E43" s="138"/>
      <c r="F43" s="138"/>
      <c r="G43" s="138"/>
      <c r="H43" s="138"/>
      <c r="I43" s="138"/>
      <c r="J43" s="138"/>
      <c r="K43" s="4"/>
      <c r="L43" s="4"/>
      <c r="M43" s="4"/>
      <c r="N43" s="4"/>
      <c r="O43" s="4"/>
      <c r="P43" s="4"/>
      <c r="S43" s="10"/>
    </row>
    <row r="44" spans="1:16" ht="15" customHeight="1" thickBot="1">
      <c r="A44" s="105"/>
      <c r="B44" s="106" t="s">
        <v>165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1:16" ht="0.75" customHeight="1" thickBot="1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tabSelected="1" zoomScale="85" zoomScaleNormal="85" zoomScalePageLayoutView="0" workbookViewId="0" topLeftCell="A5">
      <pane ySplit="1740" topLeftCell="A34" activePane="bottomLeft" state="split"/>
      <selection pane="topLeft" activeCell="AQ5" sqref="AQ1:AS16384"/>
      <selection pane="bottomLeft" activeCell="AR68" sqref="AR68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5.421875" style="1" customWidth="1"/>
    <col min="14" max="15" width="15.421875" style="1" hidden="1" customWidth="1"/>
    <col min="16" max="16" width="18.140625" style="1" customWidth="1"/>
    <col min="17" max="22" width="16.28125" style="1" hidden="1" customWidth="1"/>
    <col min="23" max="23" width="16.421875" style="1" hidden="1" customWidth="1"/>
    <col min="24" max="24" width="17.00390625" style="1" hidden="1" customWidth="1"/>
    <col min="25" max="25" width="16.140625" style="1" hidden="1" customWidth="1"/>
    <col min="26" max="26" width="16.7109375" style="1" customWidth="1"/>
    <col min="27" max="28" width="15.140625" style="1" hidden="1" customWidth="1"/>
    <col min="29" max="29" width="18.421875" style="1" customWidth="1"/>
    <col min="30" max="35" width="16.28125" style="1" hidden="1" customWidth="1"/>
    <col min="36" max="36" width="17.28125" style="1" hidden="1" customWidth="1"/>
    <col min="37" max="37" width="19.140625" style="1" hidden="1" customWidth="1"/>
    <col min="38" max="38" width="16.28125" style="1" hidden="1" customWidth="1"/>
    <col min="39" max="39" width="16.28125" style="1" customWidth="1"/>
    <col min="40" max="41" width="16.28125" style="1" hidden="1" customWidth="1"/>
    <col min="42" max="42" width="16.28125" style="1" customWidth="1"/>
    <col min="43" max="43" width="11.4218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50"/>
    </row>
    <row r="2" spans="1:42" ht="12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</row>
    <row r="3" spans="1:42" ht="12.75">
      <c r="A3" s="145" t="s">
        <v>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</row>
    <row r="4" spans="1:42" ht="12.75">
      <c r="A4" s="145" t="s">
        <v>35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2" ht="12.75">
      <c r="A5" s="145" t="s">
        <v>38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7"/>
    </row>
    <row r="6" spans="1:42" ht="12.75">
      <c r="A6" s="87" t="s">
        <v>2</v>
      </c>
      <c r="B6" s="88"/>
      <c r="C6" s="18" t="s">
        <v>161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5" t="s">
        <v>172</v>
      </c>
    </row>
    <row r="7" spans="1:42" ht="14.25" customHeight="1" thickBot="1">
      <c r="A7" s="87" t="s">
        <v>3</v>
      </c>
      <c r="B7" s="89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4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6">
        <v>2011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7" t="s">
        <v>25</v>
      </c>
      <c r="B10" s="77"/>
      <c r="C10" s="77" t="s">
        <v>6</v>
      </c>
      <c r="D10" s="77" t="s">
        <v>7</v>
      </c>
      <c r="E10" s="77" t="s">
        <v>8</v>
      </c>
      <c r="F10" s="77" t="s">
        <v>9</v>
      </c>
      <c r="G10" s="77" t="s">
        <v>10</v>
      </c>
      <c r="H10" s="77" t="s">
        <v>11</v>
      </c>
      <c r="I10" s="77" t="s">
        <v>12</v>
      </c>
      <c r="J10" s="77" t="s">
        <v>13</v>
      </c>
      <c r="K10" s="77" t="s">
        <v>14</v>
      </c>
      <c r="L10" s="77" t="s">
        <v>15</v>
      </c>
      <c r="M10" s="77" t="s">
        <v>16</v>
      </c>
      <c r="N10" s="77" t="s">
        <v>17</v>
      </c>
      <c r="O10" s="77" t="s">
        <v>18</v>
      </c>
      <c r="P10" s="77" t="s">
        <v>19</v>
      </c>
      <c r="Q10" s="77" t="s">
        <v>7</v>
      </c>
      <c r="R10" s="77" t="s">
        <v>8</v>
      </c>
      <c r="S10" s="77" t="s">
        <v>9</v>
      </c>
      <c r="T10" s="77" t="s">
        <v>10</v>
      </c>
      <c r="U10" s="77" t="s">
        <v>20</v>
      </c>
      <c r="V10" s="77" t="s">
        <v>21</v>
      </c>
      <c r="W10" s="77" t="s">
        <v>22</v>
      </c>
      <c r="X10" s="77" t="s">
        <v>14</v>
      </c>
      <c r="Y10" s="77" t="s">
        <v>15</v>
      </c>
      <c r="Z10" s="77" t="s">
        <v>23</v>
      </c>
      <c r="AA10" s="77" t="s">
        <v>17</v>
      </c>
      <c r="AB10" s="77" t="s">
        <v>18</v>
      </c>
      <c r="AC10" s="77" t="s">
        <v>31</v>
      </c>
      <c r="AD10" s="77" t="s">
        <v>7</v>
      </c>
      <c r="AE10" s="77" t="s">
        <v>8</v>
      </c>
      <c r="AF10" s="77" t="s">
        <v>9</v>
      </c>
      <c r="AG10" s="77" t="s">
        <v>10</v>
      </c>
      <c r="AH10" s="77" t="s">
        <v>20</v>
      </c>
      <c r="AI10" s="77" t="s">
        <v>21</v>
      </c>
      <c r="AJ10" s="77" t="s">
        <v>22</v>
      </c>
      <c r="AK10" s="77" t="s">
        <v>14</v>
      </c>
      <c r="AL10" s="77" t="s">
        <v>15</v>
      </c>
      <c r="AM10" s="77" t="s">
        <v>23</v>
      </c>
      <c r="AN10" s="77" t="s">
        <v>17</v>
      </c>
      <c r="AO10" s="77" t="s">
        <v>18</v>
      </c>
      <c r="AP10" s="77" t="s">
        <v>19</v>
      </c>
    </row>
    <row r="11" spans="1:42" s="82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SUM(C13,C41,C53)</f>
        <v>21293316100</v>
      </c>
      <c r="D12" s="36">
        <f t="shared" si="0"/>
        <v>2338151926</v>
      </c>
      <c r="E12" s="36">
        <f t="shared" si="0"/>
        <v>1979109553</v>
      </c>
      <c r="F12" s="36">
        <f t="shared" si="0"/>
        <v>1368176819</v>
      </c>
      <c r="G12" s="36">
        <f t="shared" si="0"/>
        <v>1001367391</v>
      </c>
      <c r="H12" s="36">
        <f t="shared" si="0"/>
        <v>1600126586</v>
      </c>
      <c r="I12" s="36">
        <f t="shared" si="0"/>
        <v>2133366662</v>
      </c>
      <c r="J12" s="36">
        <f t="shared" si="0"/>
        <v>1557360215</v>
      </c>
      <c r="K12" s="36">
        <f t="shared" si="0"/>
        <v>1406069940</v>
      </c>
      <c r="L12" s="36">
        <f t="shared" si="0"/>
        <v>1443195202</v>
      </c>
      <c r="M12" s="36">
        <f t="shared" si="0"/>
        <v>1464092053.72</v>
      </c>
      <c r="N12" s="36">
        <f t="shared" si="0"/>
        <v>0</v>
      </c>
      <c r="O12" s="36">
        <f t="shared" si="0"/>
        <v>0</v>
      </c>
      <c r="P12" s="36">
        <f t="shared" si="0"/>
        <v>16291016347.72</v>
      </c>
      <c r="Q12" s="36">
        <f t="shared" si="0"/>
        <v>1255310687</v>
      </c>
      <c r="R12" s="36">
        <f t="shared" si="0"/>
        <v>2058658348</v>
      </c>
      <c r="S12" s="36">
        <f t="shared" si="0"/>
        <v>1448423188</v>
      </c>
      <c r="T12" s="36">
        <f t="shared" si="0"/>
        <v>1020731909</v>
      </c>
      <c r="U12" s="36">
        <f t="shared" si="0"/>
        <v>1625473628</v>
      </c>
      <c r="V12" s="36">
        <f t="shared" si="0"/>
        <v>2325233726</v>
      </c>
      <c r="W12" s="36">
        <f t="shared" si="0"/>
        <v>1659155826</v>
      </c>
      <c r="X12" s="36">
        <f t="shared" si="0"/>
        <v>1451481380</v>
      </c>
      <c r="Y12" s="36">
        <f t="shared" si="0"/>
        <v>1544915809</v>
      </c>
      <c r="Z12" s="36">
        <f t="shared" si="0"/>
        <v>1543620454</v>
      </c>
      <c r="AA12" s="36">
        <f t="shared" si="0"/>
        <v>0</v>
      </c>
      <c r="AB12" s="36">
        <f t="shared" si="0"/>
        <v>0</v>
      </c>
      <c r="AC12" s="36">
        <f t="shared" si="0"/>
        <v>15933004955</v>
      </c>
      <c r="AD12" s="36">
        <f t="shared" si="0"/>
        <v>1254285587</v>
      </c>
      <c r="AE12" s="36">
        <f t="shared" si="0"/>
        <v>1786219383</v>
      </c>
      <c r="AF12" s="36">
        <f t="shared" si="0"/>
        <v>1459374813</v>
      </c>
      <c r="AG12" s="36">
        <f t="shared" si="0"/>
        <v>1009344213</v>
      </c>
      <c r="AH12" s="36">
        <f t="shared" si="0"/>
        <v>1833180989</v>
      </c>
      <c r="AI12" s="36">
        <f t="shared" si="0"/>
        <v>1908242270</v>
      </c>
      <c r="AJ12" s="36">
        <f t="shared" si="0"/>
        <v>2087142210</v>
      </c>
      <c r="AK12" s="36">
        <f t="shared" si="0"/>
        <v>1481008078</v>
      </c>
      <c r="AL12" s="36">
        <f t="shared" si="0"/>
        <v>1521690096</v>
      </c>
      <c r="AM12" s="36">
        <f t="shared" si="0"/>
        <v>1590004043</v>
      </c>
      <c r="AN12" s="36">
        <f t="shared" si="0"/>
        <v>0</v>
      </c>
      <c r="AO12" s="36">
        <f t="shared" si="0"/>
        <v>0</v>
      </c>
      <c r="AP12" s="36">
        <f t="shared" si="0"/>
        <v>15930491682</v>
      </c>
    </row>
    <row r="13" spans="1:42" s="14" customFormat="1" ht="13.5" thickBot="1">
      <c r="A13" s="34"/>
      <c r="B13" s="35" t="s">
        <v>42</v>
      </c>
      <c r="C13" s="36">
        <f aca="true" t="shared" si="1" ref="C13:AP13">SUM(C14:C40)</f>
        <v>19387358940</v>
      </c>
      <c r="D13" s="36">
        <f t="shared" si="1"/>
        <v>1307687792</v>
      </c>
      <c r="E13" s="36">
        <f t="shared" si="1"/>
        <v>1931627809</v>
      </c>
      <c r="F13" s="36">
        <f t="shared" si="1"/>
        <v>1344803077</v>
      </c>
      <c r="G13" s="36">
        <f t="shared" si="1"/>
        <v>971773297</v>
      </c>
      <c r="H13" s="36">
        <f t="shared" si="1"/>
        <v>1498656638</v>
      </c>
      <c r="I13" s="36">
        <f t="shared" si="1"/>
        <v>2114463335</v>
      </c>
      <c r="J13" s="36">
        <f t="shared" si="1"/>
        <v>1402629941</v>
      </c>
      <c r="K13" s="36">
        <f t="shared" si="1"/>
        <v>1369210186</v>
      </c>
      <c r="L13" s="36">
        <f t="shared" si="1"/>
        <v>1411875056</v>
      </c>
      <c r="M13" s="36">
        <f t="shared" si="1"/>
        <v>1384008173</v>
      </c>
      <c r="N13" s="36">
        <f t="shared" si="1"/>
        <v>0</v>
      </c>
      <c r="O13" s="36">
        <f t="shared" si="1"/>
        <v>0</v>
      </c>
      <c r="P13" s="36">
        <f t="shared" si="1"/>
        <v>14736735304</v>
      </c>
      <c r="Q13" s="36">
        <f t="shared" si="1"/>
        <v>1242422237</v>
      </c>
      <c r="R13" s="36">
        <f t="shared" si="1"/>
        <v>1905480852</v>
      </c>
      <c r="S13" s="36">
        <f t="shared" si="1"/>
        <v>1320688841</v>
      </c>
      <c r="T13" s="36">
        <f t="shared" si="1"/>
        <v>963554749</v>
      </c>
      <c r="U13" s="36">
        <f t="shared" si="1"/>
        <v>1515929043</v>
      </c>
      <c r="V13" s="36">
        <f t="shared" si="1"/>
        <v>2136598270</v>
      </c>
      <c r="W13" s="36">
        <f t="shared" si="1"/>
        <v>1426505880</v>
      </c>
      <c r="X13" s="36">
        <f t="shared" si="1"/>
        <v>1383799981</v>
      </c>
      <c r="Y13" s="36">
        <f t="shared" si="1"/>
        <v>1418750965</v>
      </c>
      <c r="Z13" s="36">
        <f t="shared" si="1"/>
        <v>1390702283</v>
      </c>
      <c r="AA13" s="36">
        <f t="shared" si="1"/>
        <v>0</v>
      </c>
      <c r="AB13" s="36">
        <f t="shared" si="1"/>
        <v>0</v>
      </c>
      <c r="AC13" s="36">
        <f t="shared" si="1"/>
        <v>14704433101</v>
      </c>
      <c r="AD13" s="36">
        <f t="shared" si="1"/>
        <v>1241442637</v>
      </c>
      <c r="AE13" s="36">
        <f t="shared" si="1"/>
        <v>1632996387</v>
      </c>
      <c r="AF13" s="36">
        <f t="shared" si="1"/>
        <v>1331640466</v>
      </c>
      <c r="AG13" s="36">
        <f t="shared" si="1"/>
        <v>952167053</v>
      </c>
      <c r="AH13" s="36">
        <f t="shared" si="1"/>
        <v>1723636404</v>
      </c>
      <c r="AI13" s="36">
        <f t="shared" si="1"/>
        <v>1774804661</v>
      </c>
      <c r="AJ13" s="36">
        <f t="shared" si="1"/>
        <v>1854492264</v>
      </c>
      <c r="AK13" s="36">
        <f t="shared" si="1"/>
        <v>1383799981</v>
      </c>
      <c r="AL13" s="36">
        <f t="shared" si="1"/>
        <v>1400000000</v>
      </c>
      <c r="AM13" s="36">
        <f t="shared" si="1"/>
        <v>1408331248</v>
      </c>
      <c r="AN13" s="36">
        <f t="shared" si="1"/>
        <v>0</v>
      </c>
      <c r="AO13" s="36">
        <f t="shared" si="1"/>
        <v>0</v>
      </c>
      <c r="AP13" s="37">
        <f t="shared" si="1"/>
        <v>14703311101</v>
      </c>
    </row>
    <row r="14" spans="1:44" s="12" customFormat="1" ht="12.75">
      <c r="A14" s="38" t="s">
        <v>52</v>
      </c>
      <c r="B14" s="39" t="s">
        <v>54</v>
      </c>
      <c r="C14" s="115">
        <f>9888602504-10000000</f>
        <v>9878602504</v>
      </c>
      <c r="D14" s="114">
        <v>736871165</v>
      </c>
      <c r="E14" s="114">
        <v>1253691791</v>
      </c>
      <c r="F14" s="114">
        <v>816062571</v>
      </c>
      <c r="G14" s="114">
        <v>490287308</v>
      </c>
      <c r="H14" s="115">
        <v>833776523</v>
      </c>
      <c r="I14" s="115">
        <f>816418351</f>
        <v>816418351</v>
      </c>
      <c r="J14" s="115">
        <v>783645138</v>
      </c>
      <c r="K14" s="115">
        <v>840188115</v>
      </c>
      <c r="L14" s="115">
        <v>856164754</v>
      </c>
      <c r="M14" s="115">
        <v>860923502</v>
      </c>
      <c r="N14" s="115"/>
      <c r="O14" s="115"/>
      <c r="P14" s="72">
        <f>SUM(D14:O14)</f>
        <v>8288029218</v>
      </c>
      <c r="Q14" s="114">
        <v>736871165</v>
      </c>
      <c r="R14" s="114">
        <v>1253691791</v>
      </c>
      <c r="S14" s="114">
        <v>816062571</v>
      </c>
      <c r="T14" s="114">
        <v>490287308</v>
      </c>
      <c r="U14" s="115">
        <v>833776523</v>
      </c>
      <c r="V14" s="115">
        <v>816418351</v>
      </c>
      <c r="W14" s="115">
        <v>783645138</v>
      </c>
      <c r="X14" s="115">
        <v>840188115</v>
      </c>
      <c r="Y14" s="115">
        <v>856164754</v>
      </c>
      <c r="Z14" s="115">
        <v>860923502</v>
      </c>
      <c r="AA14" s="115"/>
      <c r="AB14" s="115"/>
      <c r="AC14" s="72">
        <f>SUM(Q14:AB14)</f>
        <v>8288029218</v>
      </c>
      <c r="AD14" s="115">
        <v>736871165</v>
      </c>
      <c r="AE14" s="115">
        <v>1253691791</v>
      </c>
      <c r="AF14" s="115">
        <v>816062571</v>
      </c>
      <c r="AG14" s="114">
        <v>490287308</v>
      </c>
      <c r="AH14" s="115">
        <v>833776523</v>
      </c>
      <c r="AI14" s="115">
        <v>816418351</v>
      </c>
      <c r="AJ14" s="115">
        <v>783645138</v>
      </c>
      <c r="AK14" s="115">
        <v>840188115</v>
      </c>
      <c r="AL14" s="115">
        <v>856164754</v>
      </c>
      <c r="AM14" s="115">
        <v>860923502</v>
      </c>
      <c r="AN14" s="115"/>
      <c r="AO14" s="115"/>
      <c r="AP14" s="73">
        <f>SUM(AD14:AO14)</f>
        <v>8288029218</v>
      </c>
      <c r="AR14" s="130"/>
    </row>
    <row r="15" spans="1:44" s="12" customFormat="1" ht="12.75">
      <c r="A15" s="16" t="s">
        <v>53</v>
      </c>
      <c r="B15" s="48" t="s">
        <v>55</v>
      </c>
      <c r="C15" s="110">
        <v>816215714</v>
      </c>
      <c r="D15" s="116">
        <v>19984956</v>
      </c>
      <c r="E15" s="116">
        <v>37031096</v>
      </c>
      <c r="F15" s="116">
        <v>19809558</v>
      </c>
      <c r="G15" s="116">
        <v>28787881</v>
      </c>
      <c r="H15" s="110">
        <v>43189132</v>
      </c>
      <c r="I15" s="110">
        <v>125313011</v>
      </c>
      <c r="J15" s="110">
        <v>30285696</v>
      </c>
      <c r="K15" s="110">
        <v>29318255</v>
      </c>
      <c r="L15" s="110">
        <v>23331972</v>
      </c>
      <c r="M15" s="110">
        <v>16640146</v>
      </c>
      <c r="N15" s="110"/>
      <c r="O15" s="110"/>
      <c r="P15" s="118">
        <f aca="true" t="shared" si="2" ref="P15:P55">SUM(D15:O15)</f>
        <v>373691703</v>
      </c>
      <c r="Q15" s="116">
        <v>19984956</v>
      </c>
      <c r="R15" s="116">
        <v>37031096</v>
      </c>
      <c r="S15" s="116">
        <v>19809558</v>
      </c>
      <c r="T15" s="116">
        <v>28787881</v>
      </c>
      <c r="U15" s="110">
        <v>43189132</v>
      </c>
      <c r="V15" s="110">
        <v>125313011</v>
      </c>
      <c r="W15" s="110">
        <v>30285696</v>
      </c>
      <c r="X15" s="110">
        <v>29318255</v>
      </c>
      <c r="Y15" s="110">
        <v>23331972</v>
      </c>
      <c r="Z15" s="110">
        <v>16640146</v>
      </c>
      <c r="AA15" s="110"/>
      <c r="AB15" s="110"/>
      <c r="AC15" s="118">
        <f aca="true" t="shared" si="3" ref="AC15:AC40">SUM(Q15:AB15)</f>
        <v>373691703</v>
      </c>
      <c r="AD15" s="110">
        <v>19984956</v>
      </c>
      <c r="AE15" s="110">
        <v>37031096</v>
      </c>
      <c r="AF15" s="110">
        <v>19809558</v>
      </c>
      <c r="AG15" s="116">
        <v>28787881</v>
      </c>
      <c r="AH15" s="110">
        <v>43189132</v>
      </c>
      <c r="AI15" s="110">
        <v>125313011</v>
      </c>
      <c r="AJ15" s="110">
        <v>30285696</v>
      </c>
      <c r="AK15" s="110">
        <v>29318255</v>
      </c>
      <c r="AL15" s="110">
        <v>23331972</v>
      </c>
      <c r="AM15" s="110">
        <v>16640146</v>
      </c>
      <c r="AN15" s="110"/>
      <c r="AO15" s="110"/>
      <c r="AP15" s="125">
        <f aca="true" t="shared" si="4" ref="AP15:AP40">SUM(AD15:AO15)</f>
        <v>373691703</v>
      </c>
      <c r="AR15" s="130"/>
    </row>
    <row r="16" spans="1:44" s="12" customFormat="1" ht="12.75">
      <c r="A16" s="16" t="s">
        <v>74</v>
      </c>
      <c r="B16" s="48" t="s">
        <v>56</v>
      </c>
      <c r="C16" s="110">
        <f>25000000+10000000</f>
        <v>35000000</v>
      </c>
      <c r="D16" s="116">
        <v>1150212</v>
      </c>
      <c r="E16" s="116">
        <v>3444499</v>
      </c>
      <c r="F16" s="116">
        <v>2654000</v>
      </c>
      <c r="G16" s="116">
        <v>1356365</v>
      </c>
      <c r="H16" s="110">
        <v>2694066</v>
      </c>
      <c r="I16" s="110">
        <v>3165045</v>
      </c>
      <c r="J16" s="110">
        <v>2987467</v>
      </c>
      <c r="K16" s="110">
        <v>4551645</v>
      </c>
      <c r="L16" s="110">
        <v>2626243</v>
      </c>
      <c r="M16" s="110">
        <v>5333866</v>
      </c>
      <c r="N16" s="110"/>
      <c r="O16" s="110"/>
      <c r="P16" s="118">
        <f t="shared" si="2"/>
        <v>29963408</v>
      </c>
      <c r="Q16" s="116">
        <v>1150212</v>
      </c>
      <c r="R16" s="116">
        <v>3444499</v>
      </c>
      <c r="S16" s="116">
        <v>2654000</v>
      </c>
      <c r="T16" s="116">
        <v>1356365</v>
      </c>
      <c r="U16" s="110">
        <v>2694066</v>
      </c>
      <c r="V16" s="110">
        <v>3165045</v>
      </c>
      <c r="W16" s="110">
        <v>2987467</v>
      </c>
      <c r="X16" s="110">
        <v>4551645</v>
      </c>
      <c r="Y16" s="110">
        <v>2626243</v>
      </c>
      <c r="Z16" s="110">
        <v>5333866</v>
      </c>
      <c r="AA16" s="110"/>
      <c r="AB16" s="110"/>
      <c r="AC16" s="118">
        <f t="shared" si="3"/>
        <v>29963408</v>
      </c>
      <c r="AD16" s="110">
        <v>1150212</v>
      </c>
      <c r="AE16" s="110">
        <v>3444499</v>
      </c>
      <c r="AF16" s="110">
        <v>2654000</v>
      </c>
      <c r="AG16" s="116">
        <v>1356365</v>
      </c>
      <c r="AH16" s="110">
        <v>2694066</v>
      </c>
      <c r="AI16" s="110">
        <v>3165045</v>
      </c>
      <c r="AJ16" s="110">
        <v>2987467</v>
      </c>
      <c r="AK16" s="110">
        <v>4551645</v>
      </c>
      <c r="AL16" s="110">
        <v>2626243</v>
      </c>
      <c r="AM16" s="110">
        <v>5333866</v>
      </c>
      <c r="AN16" s="110"/>
      <c r="AO16" s="110"/>
      <c r="AP16" s="125">
        <f t="shared" si="4"/>
        <v>29963408</v>
      </c>
      <c r="AR16" s="130"/>
    </row>
    <row r="17" spans="1:44" s="12" customFormat="1" ht="12.75">
      <c r="A17" s="16" t="s">
        <v>75</v>
      </c>
      <c r="B17" s="48" t="s">
        <v>57</v>
      </c>
      <c r="C17" s="110">
        <v>628604198</v>
      </c>
      <c r="D17" s="116">
        <v>38733387</v>
      </c>
      <c r="E17" s="116">
        <v>68286016</v>
      </c>
      <c r="F17" s="116">
        <v>42458922</v>
      </c>
      <c r="G17" s="116">
        <v>18939491</v>
      </c>
      <c r="H17" s="110">
        <v>43093750</v>
      </c>
      <c r="I17" s="110">
        <v>42628899</v>
      </c>
      <c r="J17" s="110">
        <v>48877110</v>
      </c>
      <c r="K17" s="110">
        <v>46403183</v>
      </c>
      <c r="L17" s="110">
        <v>46392779</v>
      </c>
      <c r="M17" s="110">
        <v>47259898</v>
      </c>
      <c r="N17" s="110"/>
      <c r="O17" s="110"/>
      <c r="P17" s="118">
        <f t="shared" si="2"/>
        <v>443073435</v>
      </c>
      <c r="Q17" s="116">
        <v>38733387</v>
      </c>
      <c r="R17" s="116">
        <v>68286016</v>
      </c>
      <c r="S17" s="116">
        <v>42458922</v>
      </c>
      <c r="T17" s="116">
        <v>18939491</v>
      </c>
      <c r="U17" s="110">
        <v>43093750</v>
      </c>
      <c r="V17" s="110">
        <v>42628899</v>
      </c>
      <c r="W17" s="110">
        <v>48877110</v>
      </c>
      <c r="X17" s="110">
        <v>46403183</v>
      </c>
      <c r="Y17" s="110">
        <v>46392779</v>
      </c>
      <c r="Z17" s="110">
        <v>47259898</v>
      </c>
      <c r="AA17" s="110"/>
      <c r="AB17" s="110"/>
      <c r="AC17" s="118">
        <f t="shared" si="3"/>
        <v>443073435</v>
      </c>
      <c r="AD17" s="110">
        <v>38733387</v>
      </c>
      <c r="AE17" s="110">
        <v>68286016</v>
      </c>
      <c r="AF17" s="110">
        <v>42458922</v>
      </c>
      <c r="AG17" s="116">
        <v>18939491</v>
      </c>
      <c r="AH17" s="110">
        <v>43093750</v>
      </c>
      <c r="AI17" s="110">
        <v>42628899</v>
      </c>
      <c r="AJ17" s="110">
        <v>48877110</v>
      </c>
      <c r="AK17" s="110">
        <v>46403183</v>
      </c>
      <c r="AL17" s="110">
        <v>46392779</v>
      </c>
      <c r="AM17" s="110">
        <v>47259898</v>
      </c>
      <c r="AN17" s="110"/>
      <c r="AO17" s="110"/>
      <c r="AP17" s="125">
        <f t="shared" si="4"/>
        <v>443073435</v>
      </c>
      <c r="AR17" s="130"/>
    </row>
    <row r="18" spans="1:44" s="12" customFormat="1" ht="12.75">
      <c r="A18" s="16" t="s">
        <v>76</v>
      </c>
      <c r="B18" s="48" t="s">
        <v>58</v>
      </c>
      <c r="C18" s="110">
        <v>124605190</v>
      </c>
      <c r="D18" s="116">
        <v>10081326</v>
      </c>
      <c r="E18" s="116">
        <v>15121992</v>
      </c>
      <c r="F18" s="116">
        <v>10081328</v>
      </c>
      <c r="G18" s="116">
        <v>6318977</v>
      </c>
      <c r="H18" s="110">
        <v>8207320</v>
      </c>
      <c r="I18" s="110">
        <v>10547145</v>
      </c>
      <c r="J18" s="110">
        <v>10400906</v>
      </c>
      <c r="K18" s="110">
        <v>10400906</v>
      </c>
      <c r="L18" s="110">
        <v>10400906</v>
      </c>
      <c r="M18" s="110">
        <v>10400906</v>
      </c>
      <c r="N18" s="110"/>
      <c r="O18" s="110"/>
      <c r="P18" s="118">
        <f t="shared" si="2"/>
        <v>101961712</v>
      </c>
      <c r="Q18" s="116">
        <v>10081326</v>
      </c>
      <c r="R18" s="116">
        <v>15121992</v>
      </c>
      <c r="S18" s="116">
        <v>10081328</v>
      </c>
      <c r="T18" s="116">
        <v>6318977</v>
      </c>
      <c r="U18" s="110">
        <v>8207320</v>
      </c>
      <c r="V18" s="110">
        <v>10547145</v>
      </c>
      <c r="W18" s="110">
        <v>10400906</v>
      </c>
      <c r="X18" s="110">
        <v>10400906</v>
      </c>
      <c r="Y18" s="110">
        <v>10400906</v>
      </c>
      <c r="Z18" s="110">
        <v>10400906</v>
      </c>
      <c r="AA18" s="110"/>
      <c r="AB18" s="110"/>
      <c r="AC18" s="118">
        <f t="shared" si="3"/>
        <v>101961712</v>
      </c>
      <c r="AD18" s="110">
        <v>10081326</v>
      </c>
      <c r="AE18" s="110">
        <v>15121992</v>
      </c>
      <c r="AF18" s="110">
        <v>10081328</v>
      </c>
      <c r="AG18" s="116">
        <v>6318977</v>
      </c>
      <c r="AH18" s="110">
        <v>8207320</v>
      </c>
      <c r="AI18" s="110">
        <v>10547145</v>
      </c>
      <c r="AJ18" s="110">
        <v>10400906</v>
      </c>
      <c r="AK18" s="110">
        <v>10400906</v>
      </c>
      <c r="AL18" s="110">
        <v>10400906</v>
      </c>
      <c r="AM18" s="110">
        <v>10400906</v>
      </c>
      <c r="AN18" s="110"/>
      <c r="AO18" s="110"/>
      <c r="AP18" s="125">
        <f t="shared" si="4"/>
        <v>101961712</v>
      </c>
      <c r="AR18" s="131"/>
    </row>
    <row r="19" spans="1:42" s="12" customFormat="1" ht="12.75">
      <c r="A19" s="16" t="s">
        <v>79</v>
      </c>
      <c r="B19" s="48" t="s">
        <v>77</v>
      </c>
      <c r="C19" s="110">
        <v>80499666</v>
      </c>
      <c r="D19" s="116">
        <v>4925899</v>
      </c>
      <c r="E19" s="116">
        <v>9380747</v>
      </c>
      <c r="F19" s="116">
        <v>6192913</v>
      </c>
      <c r="G19" s="116">
        <v>3804371</v>
      </c>
      <c r="H19" s="110">
        <v>6288758</v>
      </c>
      <c r="I19" s="110">
        <v>6141043</v>
      </c>
      <c r="J19" s="110">
        <v>5955334</v>
      </c>
      <c r="K19" s="110">
        <v>6224681</v>
      </c>
      <c r="L19" s="110">
        <v>6190660</v>
      </c>
      <c r="M19" s="110">
        <v>6302651</v>
      </c>
      <c r="N19" s="110"/>
      <c r="O19" s="110"/>
      <c r="P19" s="118">
        <f t="shared" si="2"/>
        <v>61407057</v>
      </c>
      <c r="Q19" s="116">
        <v>4925899</v>
      </c>
      <c r="R19" s="116">
        <v>9380747</v>
      </c>
      <c r="S19" s="116">
        <v>6192913</v>
      </c>
      <c r="T19" s="116">
        <v>3804371</v>
      </c>
      <c r="U19" s="110">
        <v>6288758</v>
      </c>
      <c r="V19" s="110">
        <v>6141043</v>
      </c>
      <c r="W19" s="110">
        <v>5955334</v>
      </c>
      <c r="X19" s="110">
        <v>6224681</v>
      </c>
      <c r="Y19" s="110">
        <v>6190660</v>
      </c>
      <c r="Z19" s="110">
        <v>6302651</v>
      </c>
      <c r="AA19" s="110"/>
      <c r="AB19" s="110"/>
      <c r="AC19" s="118">
        <f t="shared" si="3"/>
        <v>61407057</v>
      </c>
      <c r="AD19" s="110">
        <v>4925899</v>
      </c>
      <c r="AE19" s="110">
        <v>9380747</v>
      </c>
      <c r="AF19" s="110">
        <v>6192913</v>
      </c>
      <c r="AG19" s="116">
        <v>3804371</v>
      </c>
      <c r="AH19" s="110">
        <v>6288758</v>
      </c>
      <c r="AI19" s="110">
        <v>6141043</v>
      </c>
      <c r="AJ19" s="110">
        <v>5955334</v>
      </c>
      <c r="AK19" s="110">
        <v>6224681</v>
      </c>
      <c r="AL19" s="110">
        <v>6190660</v>
      </c>
      <c r="AM19" s="110">
        <v>6302651</v>
      </c>
      <c r="AN19" s="110"/>
      <c r="AO19" s="110"/>
      <c r="AP19" s="125">
        <f t="shared" si="4"/>
        <v>61407057</v>
      </c>
    </row>
    <row r="20" spans="1:42" s="12" customFormat="1" ht="12.75">
      <c r="A20" s="16" t="s">
        <v>80</v>
      </c>
      <c r="B20" s="48" t="s">
        <v>78</v>
      </c>
      <c r="C20" s="110">
        <v>80124660</v>
      </c>
      <c r="D20" s="116">
        <v>5700050</v>
      </c>
      <c r="E20" s="116">
        <v>10623320</v>
      </c>
      <c r="F20" s="116">
        <v>6930280</v>
      </c>
      <c r="G20" s="116">
        <v>826800</v>
      </c>
      <c r="H20" s="110">
        <v>6256120</v>
      </c>
      <c r="I20" s="110">
        <v>6192520</v>
      </c>
      <c r="J20" s="110">
        <v>5844840</v>
      </c>
      <c r="K20" s="110">
        <v>6020800</v>
      </c>
      <c r="L20" s="110">
        <v>6037760</v>
      </c>
      <c r="M20" s="110">
        <v>6207360</v>
      </c>
      <c r="N20" s="110"/>
      <c r="O20" s="110"/>
      <c r="P20" s="118">
        <f t="shared" si="2"/>
        <v>60639850</v>
      </c>
      <c r="Q20" s="116">
        <v>5700050</v>
      </c>
      <c r="R20" s="116">
        <v>10623320</v>
      </c>
      <c r="S20" s="116">
        <v>6930280</v>
      </c>
      <c r="T20" s="116">
        <v>826800</v>
      </c>
      <c r="U20" s="110">
        <v>6256120</v>
      </c>
      <c r="V20" s="110">
        <v>6192520</v>
      </c>
      <c r="W20" s="110">
        <v>5844840</v>
      </c>
      <c r="X20" s="110">
        <v>6020800</v>
      </c>
      <c r="Y20" s="110">
        <v>6037760</v>
      </c>
      <c r="Z20" s="110">
        <v>6207360</v>
      </c>
      <c r="AA20" s="110"/>
      <c r="AB20" s="110"/>
      <c r="AC20" s="118">
        <f t="shared" si="3"/>
        <v>60639850</v>
      </c>
      <c r="AD20" s="110">
        <v>5700050</v>
      </c>
      <c r="AE20" s="110">
        <v>10623320</v>
      </c>
      <c r="AF20" s="110">
        <v>6930280</v>
      </c>
      <c r="AG20" s="116">
        <v>826800</v>
      </c>
      <c r="AH20" s="110">
        <v>6256120</v>
      </c>
      <c r="AI20" s="110">
        <v>6192520</v>
      </c>
      <c r="AJ20" s="110">
        <v>5844840</v>
      </c>
      <c r="AK20" s="110">
        <v>6020800</v>
      </c>
      <c r="AL20" s="110">
        <v>6037760</v>
      </c>
      <c r="AM20" s="110">
        <v>6207360</v>
      </c>
      <c r="AN20" s="110"/>
      <c r="AO20" s="110"/>
      <c r="AP20" s="125">
        <f t="shared" si="4"/>
        <v>60639850</v>
      </c>
    </row>
    <row r="21" spans="1:42" s="12" customFormat="1" ht="12.75">
      <c r="A21" s="16" t="s">
        <v>81</v>
      </c>
      <c r="B21" s="48" t="s">
        <v>59</v>
      </c>
      <c r="C21" s="110">
        <v>468795745</v>
      </c>
      <c r="D21" s="116">
        <v>927346</v>
      </c>
      <c r="E21" s="116">
        <v>1778887</v>
      </c>
      <c r="F21" s="116">
        <v>1682456</v>
      </c>
      <c r="G21" s="116">
        <v>-619849</v>
      </c>
      <c r="H21" s="110">
        <v>13240773</v>
      </c>
      <c r="I21" s="110">
        <v>434002623</v>
      </c>
      <c r="J21" s="110">
        <v>3617824</v>
      </c>
      <c r="K21" s="110">
        <v>0</v>
      </c>
      <c r="L21" s="110">
        <v>0</v>
      </c>
      <c r="M21" s="110">
        <v>0</v>
      </c>
      <c r="N21" s="110"/>
      <c r="O21" s="110"/>
      <c r="P21" s="118">
        <f t="shared" si="2"/>
        <v>454630060</v>
      </c>
      <c r="Q21" s="116">
        <v>927346</v>
      </c>
      <c r="R21" s="116">
        <v>1778887</v>
      </c>
      <c r="S21" s="116">
        <v>1682456</v>
      </c>
      <c r="T21" s="116">
        <v>-619849</v>
      </c>
      <c r="U21" s="110">
        <v>13240773</v>
      </c>
      <c r="V21" s="110">
        <v>434002623</v>
      </c>
      <c r="W21" s="110">
        <v>3617824</v>
      </c>
      <c r="X21" s="110">
        <v>0</v>
      </c>
      <c r="Y21" s="110">
        <v>0</v>
      </c>
      <c r="Z21" s="110">
        <v>0</v>
      </c>
      <c r="AA21" s="110"/>
      <c r="AB21" s="110"/>
      <c r="AC21" s="118">
        <f t="shared" si="3"/>
        <v>454630060</v>
      </c>
      <c r="AD21" s="110">
        <v>927346</v>
      </c>
      <c r="AE21" s="110">
        <v>1778887</v>
      </c>
      <c r="AF21" s="110">
        <v>1682456</v>
      </c>
      <c r="AG21" s="116">
        <v>-619849</v>
      </c>
      <c r="AH21" s="110">
        <v>13240773</v>
      </c>
      <c r="AI21" s="110">
        <v>6016239</v>
      </c>
      <c r="AJ21" s="110">
        <v>431604208</v>
      </c>
      <c r="AK21" s="110">
        <v>0</v>
      </c>
      <c r="AL21" s="110">
        <v>0</v>
      </c>
      <c r="AM21" s="110">
        <v>0</v>
      </c>
      <c r="AN21" s="110"/>
      <c r="AO21" s="110"/>
      <c r="AP21" s="125">
        <f t="shared" si="4"/>
        <v>454630060</v>
      </c>
    </row>
    <row r="22" spans="1:42" s="12" customFormat="1" ht="12.75">
      <c r="A22" s="16" t="s">
        <v>82</v>
      </c>
      <c r="B22" s="48" t="s">
        <v>61</v>
      </c>
      <c r="C22" s="110">
        <v>519420129</v>
      </c>
      <c r="D22" s="116">
        <v>16510495</v>
      </c>
      <c r="E22" s="116">
        <v>36116140</v>
      </c>
      <c r="F22" s="116">
        <v>16950933</v>
      </c>
      <c r="G22" s="116">
        <v>14505430</v>
      </c>
      <c r="H22" s="110">
        <v>63085318</v>
      </c>
      <c r="I22" s="110">
        <v>94040695</v>
      </c>
      <c r="J22" s="110">
        <v>25416779</v>
      </c>
      <c r="K22" s="110">
        <v>26457034</v>
      </c>
      <c r="L22" s="110">
        <v>24914956</v>
      </c>
      <c r="M22" s="110">
        <v>11137637</v>
      </c>
      <c r="N22" s="110"/>
      <c r="O22" s="110"/>
      <c r="P22" s="118">
        <f t="shared" si="2"/>
        <v>329135417</v>
      </c>
      <c r="Q22" s="116">
        <v>16510495</v>
      </c>
      <c r="R22" s="116">
        <v>36116140</v>
      </c>
      <c r="S22" s="116">
        <v>16950933</v>
      </c>
      <c r="T22" s="116">
        <v>14505430</v>
      </c>
      <c r="U22" s="110">
        <v>63085318</v>
      </c>
      <c r="V22" s="110">
        <v>94040695</v>
      </c>
      <c r="W22" s="110">
        <v>25416779</v>
      </c>
      <c r="X22" s="110">
        <v>26457034</v>
      </c>
      <c r="Y22" s="110">
        <v>24914956</v>
      </c>
      <c r="Z22" s="110">
        <v>11137637</v>
      </c>
      <c r="AA22" s="110"/>
      <c r="AB22" s="110"/>
      <c r="AC22" s="118">
        <f t="shared" si="3"/>
        <v>329135417</v>
      </c>
      <c r="AD22" s="110">
        <v>16510495</v>
      </c>
      <c r="AE22" s="110">
        <v>36116140</v>
      </c>
      <c r="AF22" s="110">
        <v>16950933</v>
      </c>
      <c r="AG22" s="116">
        <v>14505430</v>
      </c>
      <c r="AH22" s="110">
        <v>63085318</v>
      </c>
      <c r="AI22" s="110">
        <v>94040695</v>
      </c>
      <c r="AJ22" s="110">
        <v>25416779</v>
      </c>
      <c r="AK22" s="110">
        <v>26457034</v>
      </c>
      <c r="AL22" s="110">
        <v>24914956</v>
      </c>
      <c r="AM22" s="110">
        <v>11137637</v>
      </c>
      <c r="AN22" s="110"/>
      <c r="AO22" s="110"/>
      <c r="AP22" s="125">
        <f t="shared" si="4"/>
        <v>329135417</v>
      </c>
    </row>
    <row r="23" spans="1:42" s="12" customFormat="1" ht="12.75">
      <c r="A23" s="16" t="s">
        <v>83</v>
      </c>
      <c r="B23" s="48" t="s">
        <v>60</v>
      </c>
      <c r="C23" s="110">
        <f>1017351878-40000000-40000000</f>
        <v>937351878</v>
      </c>
      <c r="D23" s="116">
        <v>61504</v>
      </c>
      <c r="E23" s="116">
        <v>704832</v>
      </c>
      <c r="F23" s="116">
        <v>1213465</v>
      </c>
      <c r="G23" s="116">
        <v>-212564</v>
      </c>
      <c r="H23" s="110">
        <v>10262232</v>
      </c>
      <c r="I23" s="110">
        <v>5766794</v>
      </c>
      <c r="J23" s="110">
        <v>6278449</v>
      </c>
      <c r="K23" s="110">
        <v>3742585</v>
      </c>
      <c r="L23" s="110">
        <v>6242515</v>
      </c>
      <c r="M23" s="110">
        <v>0</v>
      </c>
      <c r="N23" s="110"/>
      <c r="O23" s="110"/>
      <c r="P23" s="118">
        <f t="shared" si="2"/>
        <v>34059812</v>
      </c>
      <c r="Q23" s="116">
        <v>61504</v>
      </c>
      <c r="R23" s="116">
        <v>704832</v>
      </c>
      <c r="S23" s="116">
        <v>1213465</v>
      </c>
      <c r="T23" s="116">
        <v>-212564</v>
      </c>
      <c r="U23" s="110">
        <v>10262232</v>
      </c>
      <c r="V23" s="110">
        <v>5766794</v>
      </c>
      <c r="W23" s="110">
        <v>6278449</v>
      </c>
      <c r="X23" s="110">
        <v>3742585</v>
      </c>
      <c r="Y23" s="110">
        <v>6242515</v>
      </c>
      <c r="Z23" s="110">
        <v>0</v>
      </c>
      <c r="AA23" s="110"/>
      <c r="AB23" s="110"/>
      <c r="AC23" s="118">
        <f t="shared" si="3"/>
        <v>34059812</v>
      </c>
      <c r="AD23" s="110">
        <v>61504</v>
      </c>
      <c r="AE23" s="110">
        <v>704832</v>
      </c>
      <c r="AF23" s="110">
        <v>1213465</v>
      </c>
      <c r="AG23" s="116">
        <v>-212564</v>
      </c>
      <c r="AH23" s="110">
        <v>10262232</v>
      </c>
      <c r="AI23" s="110">
        <v>5766794</v>
      </c>
      <c r="AJ23" s="110">
        <v>6278449</v>
      </c>
      <c r="AK23" s="110">
        <v>3742585</v>
      </c>
      <c r="AL23" s="110">
        <v>6242515</v>
      </c>
      <c r="AM23" s="110">
        <v>0</v>
      </c>
      <c r="AN23" s="110"/>
      <c r="AO23" s="110"/>
      <c r="AP23" s="125">
        <f t="shared" si="4"/>
        <v>34059812</v>
      </c>
    </row>
    <row r="24" spans="1:42" s="12" customFormat="1" ht="12.75">
      <c r="A24" s="16" t="s">
        <v>84</v>
      </c>
      <c r="B24" s="48" t="s">
        <v>62</v>
      </c>
      <c r="C24" s="110">
        <v>2755462</v>
      </c>
      <c r="D24" s="116">
        <v>222934</v>
      </c>
      <c r="E24" s="116">
        <v>208072</v>
      </c>
      <c r="F24" s="116">
        <v>282383</v>
      </c>
      <c r="G24" s="116">
        <v>145279</v>
      </c>
      <c r="H24" s="110">
        <v>230000</v>
      </c>
      <c r="I24" s="110">
        <v>230000</v>
      </c>
      <c r="J24" s="110">
        <v>230000</v>
      </c>
      <c r="K24" s="110">
        <v>230000</v>
      </c>
      <c r="L24" s="110">
        <v>230000</v>
      </c>
      <c r="M24" s="110">
        <v>230000</v>
      </c>
      <c r="N24" s="110"/>
      <c r="O24" s="110"/>
      <c r="P24" s="118">
        <f t="shared" si="2"/>
        <v>2238668</v>
      </c>
      <c r="Q24" s="116">
        <v>222934</v>
      </c>
      <c r="R24" s="116">
        <v>208072</v>
      </c>
      <c r="S24" s="116">
        <v>282383</v>
      </c>
      <c r="T24" s="116">
        <v>145279</v>
      </c>
      <c r="U24" s="110">
        <v>230000</v>
      </c>
      <c r="V24" s="110">
        <v>230000</v>
      </c>
      <c r="W24" s="110">
        <v>230000</v>
      </c>
      <c r="X24" s="110">
        <v>230000</v>
      </c>
      <c r="Y24" s="110">
        <v>230000</v>
      </c>
      <c r="Z24" s="110">
        <v>230000</v>
      </c>
      <c r="AA24" s="110"/>
      <c r="AB24" s="110"/>
      <c r="AC24" s="118">
        <f t="shared" si="3"/>
        <v>2238668</v>
      </c>
      <c r="AD24" s="110">
        <v>222934</v>
      </c>
      <c r="AE24" s="110">
        <v>208072</v>
      </c>
      <c r="AF24" s="110">
        <v>282383</v>
      </c>
      <c r="AG24" s="116">
        <v>145279</v>
      </c>
      <c r="AH24" s="110">
        <v>230000</v>
      </c>
      <c r="AI24" s="110">
        <v>230000</v>
      </c>
      <c r="AJ24" s="110">
        <v>230000</v>
      </c>
      <c r="AK24" s="110">
        <v>230000</v>
      </c>
      <c r="AL24" s="110">
        <v>230000</v>
      </c>
      <c r="AM24" s="110">
        <v>230000</v>
      </c>
      <c r="AN24" s="110"/>
      <c r="AO24" s="110"/>
      <c r="AP24" s="125">
        <f t="shared" si="4"/>
        <v>2238668</v>
      </c>
    </row>
    <row r="25" spans="1:42" s="12" customFormat="1" ht="12.75">
      <c r="A25" s="16" t="s">
        <v>85</v>
      </c>
      <c r="B25" s="48" t="s">
        <v>86</v>
      </c>
      <c r="C25" s="110">
        <v>335337188</v>
      </c>
      <c r="D25" s="116">
        <v>35460345</v>
      </c>
      <c r="E25" s="116">
        <v>50150332</v>
      </c>
      <c r="F25" s="116">
        <v>16620023</v>
      </c>
      <c r="G25" s="116">
        <v>19215439</v>
      </c>
      <c r="H25" s="110">
        <v>16155990</v>
      </c>
      <c r="I25" s="110">
        <v>22057468</v>
      </c>
      <c r="J25" s="110">
        <v>12096996</v>
      </c>
      <c r="K25" s="110">
        <v>12701593</v>
      </c>
      <c r="L25" s="110">
        <v>30689061</v>
      </c>
      <c r="M25" s="110">
        <v>29247229</v>
      </c>
      <c r="N25" s="110"/>
      <c r="O25" s="110"/>
      <c r="P25" s="118">
        <f t="shared" si="2"/>
        <v>244394476</v>
      </c>
      <c r="Q25" s="116">
        <v>35460345</v>
      </c>
      <c r="R25" s="116">
        <v>50150332</v>
      </c>
      <c r="S25" s="116">
        <v>16620023</v>
      </c>
      <c r="T25" s="116">
        <v>19215439</v>
      </c>
      <c r="U25" s="110">
        <v>16155990</v>
      </c>
      <c r="V25" s="110">
        <v>22057468</v>
      </c>
      <c r="W25" s="110">
        <v>12096996</v>
      </c>
      <c r="X25" s="110">
        <v>12701593</v>
      </c>
      <c r="Y25" s="110">
        <v>30689061</v>
      </c>
      <c r="Z25" s="110">
        <v>29247229</v>
      </c>
      <c r="AA25" s="110"/>
      <c r="AB25" s="110"/>
      <c r="AC25" s="118">
        <f t="shared" si="3"/>
        <v>244394476</v>
      </c>
      <c r="AD25" s="110">
        <v>35460345</v>
      </c>
      <c r="AE25" s="110">
        <v>50150332</v>
      </c>
      <c r="AF25" s="110">
        <v>16620023</v>
      </c>
      <c r="AG25" s="116">
        <v>19215439</v>
      </c>
      <c r="AH25" s="110">
        <v>16155990</v>
      </c>
      <c r="AI25" s="110">
        <v>22057468</v>
      </c>
      <c r="AJ25" s="110">
        <v>12096996</v>
      </c>
      <c r="AK25" s="110">
        <v>12701593</v>
      </c>
      <c r="AL25" s="110">
        <v>30689061</v>
      </c>
      <c r="AM25" s="110">
        <v>29247229</v>
      </c>
      <c r="AN25" s="110"/>
      <c r="AO25" s="110"/>
      <c r="AP25" s="125">
        <f t="shared" si="4"/>
        <v>244394476</v>
      </c>
    </row>
    <row r="26" spans="1:42" s="12" customFormat="1" ht="12.75">
      <c r="A26" s="16" t="s">
        <v>87</v>
      </c>
      <c r="B26" s="48" t="s">
        <v>104</v>
      </c>
      <c r="C26" s="110">
        <v>35548943</v>
      </c>
      <c r="D26" s="116">
        <v>2876128</v>
      </c>
      <c r="E26" s="116">
        <v>4314192</v>
      </c>
      <c r="F26" s="116">
        <v>2876128</v>
      </c>
      <c r="G26" s="116">
        <v>1802759</v>
      </c>
      <c r="H26" s="110">
        <v>2967302</v>
      </c>
      <c r="I26" s="110">
        <v>2967302</v>
      </c>
      <c r="J26" s="110">
        <v>2967302</v>
      </c>
      <c r="K26" s="110">
        <v>2967302</v>
      </c>
      <c r="L26" s="110">
        <v>2967302</v>
      </c>
      <c r="M26" s="110">
        <v>2967302</v>
      </c>
      <c r="N26" s="110"/>
      <c r="O26" s="110"/>
      <c r="P26" s="118">
        <f t="shared" si="2"/>
        <v>29673019</v>
      </c>
      <c r="Q26" s="116">
        <v>2876128</v>
      </c>
      <c r="R26" s="116">
        <v>4314192</v>
      </c>
      <c r="S26" s="116">
        <v>2876128</v>
      </c>
      <c r="T26" s="116">
        <v>1802759</v>
      </c>
      <c r="U26" s="110">
        <v>2967302</v>
      </c>
      <c r="V26" s="110">
        <v>2967302</v>
      </c>
      <c r="W26" s="110">
        <v>2967302</v>
      </c>
      <c r="X26" s="110">
        <v>2967302</v>
      </c>
      <c r="Y26" s="110">
        <v>2967302</v>
      </c>
      <c r="Z26" s="110">
        <v>2967302</v>
      </c>
      <c r="AA26" s="110"/>
      <c r="AB26" s="110"/>
      <c r="AC26" s="118">
        <f t="shared" si="3"/>
        <v>29673019</v>
      </c>
      <c r="AD26" s="110">
        <v>2876128</v>
      </c>
      <c r="AE26" s="110">
        <v>4314192</v>
      </c>
      <c r="AF26" s="110">
        <v>2876128</v>
      </c>
      <c r="AG26" s="116">
        <v>1802759</v>
      </c>
      <c r="AH26" s="110">
        <v>2967302</v>
      </c>
      <c r="AI26" s="110">
        <v>2967302</v>
      </c>
      <c r="AJ26" s="110">
        <v>2967302</v>
      </c>
      <c r="AK26" s="110">
        <v>2967302</v>
      </c>
      <c r="AL26" s="110">
        <v>2967302</v>
      </c>
      <c r="AM26" s="110">
        <v>2967302</v>
      </c>
      <c r="AN26" s="110"/>
      <c r="AO26" s="110"/>
      <c r="AP26" s="125">
        <f t="shared" si="4"/>
        <v>29673019</v>
      </c>
    </row>
    <row r="27" spans="1:42" s="12" customFormat="1" ht="12.75">
      <c r="A27" s="16" t="s">
        <v>89</v>
      </c>
      <c r="B27" s="48" t="s">
        <v>88</v>
      </c>
      <c r="C27" s="110">
        <v>240685714</v>
      </c>
      <c r="D27" s="116">
        <v>14473015</v>
      </c>
      <c r="E27" s="116">
        <v>27837984</v>
      </c>
      <c r="F27" s="116">
        <v>17889740</v>
      </c>
      <c r="G27" s="116">
        <v>10076623</v>
      </c>
      <c r="H27" s="110">
        <v>19800370</v>
      </c>
      <c r="I27" s="110">
        <v>18845601</v>
      </c>
      <c r="J27" s="110">
        <v>19626869</v>
      </c>
      <c r="K27" s="110">
        <v>20170572</v>
      </c>
      <c r="L27" s="110">
        <v>20715599</v>
      </c>
      <c r="M27" s="110">
        <v>20338482</v>
      </c>
      <c r="N27" s="110"/>
      <c r="O27" s="110"/>
      <c r="P27" s="118">
        <f t="shared" si="2"/>
        <v>189774855</v>
      </c>
      <c r="Q27" s="116">
        <v>14473015</v>
      </c>
      <c r="R27" s="116">
        <v>27837984</v>
      </c>
      <c r="S27" s="116">
        <v>17889740</v>
      </c>
      <c r="T27" s="116">
        <v>10076623</v>
      </c>
      <c r="U27" s="110">
        <v>19800370</v>
      </c>
      <c r="V27" s="110">
        <v>18845601</v>
      </c>
      <c r="W27" s="110">
        <v>19626869</v>
      </c>
      <c r="X27" s="110">
        <v>20170572</v>
      </c>
      <c r="Y27" s="110">
        <v>20715599</v>
      </c>
      <c r="Z27" s="110">
        <v>20338482</v>
      </c>
      <c r="AA27" s="110"/>
      <c r="AB27" s="110"/>
      <c r="AC27" s="118">
        <f t="shared" si="3"/>
        <v>189774855</v>
      </c>
      <c r="AD27" s="110">
        <v>14473015</v>
      </c>
      <c r="AE27" s="110">
        <v>27837984</v>
      </c>
      <c r="AF27" s="110">
        <v>17889740</v>
      </c>
      <c r="AG27" s="116">
        <v>10076623</v>
      </c>
      <c r="AH27" s="110">
        <v>19800370</v>
      </c>
      <c r="AI27" s="110">
        <v>18845601</v>
      </c>
      <c r="AJ27" s="110">
        <v>19626869</v>
      </c>
      <c r="AK27" s="110">
        <v>20170572</v>
      </c>
      <c r="AL27" s="110">
        <v>20715599</v>
      </c>
      <c r="AM27" s="110">
        <v>20338482</v>
      </c>
      <c r="AN27" s="110"/>
      <c r="AO27" s="110"/>
      <c r="AP27" s="125">
        <f t="shared" si="4"/>
        <v>189774855</v>
      </c>
    </row>
    <row r="28" spans="1:42" s="12" customFormat="1" ht="12.75">
      <c r="A28" s="16" t="s">
        <v>90</v>
      </c>
      <c r="B28" s="48" t="s">
        <v>63</v>
      </c>
      <c r="C28" s="110">
        <v>59011087</v>
      </c>
      <c r="D28" s="116">
        <v>2009213</v>
      </c>
      <c r="E28" s="116">
        <v>4441113</v>
      </c>
      <c r="F28" s="116">
        <v>2090664</v>
      </c>
      <c r="G28" s="116">
        <v>1509611</v>
      </c>
      <c r="H28" s="110">
        <v>7704743</v>
      </c>
      <c r="I28" s="110">
        <v>11088671</v>
      </c>
      <c r="J28" s="110">
        <v>3021290</v>
      </c>
      <c r="K28" s="110">
        <v>3250248</v>
      </c>
      <c r="L28" s="110">
        <v>3013799</v>
      </c>
      <c r="M28" s="110">
        <v>1523688</v>
      </c>
      <c r="N28" s="110"/>
      <c r="O28" s="110"/>
      <c r="P28" s="118">
        <f t="shared" si="2"/>
        <v>39653040</v>
      </c>
      <c r="Q28" s="116">
        <v>2009213</v>
      </c>
      <c r="R28" s="116">
        <v>4441113</v>
      </c>
      <c r="S28" s="116">
        <v>2090664</v>
      </c>
      <c r="T28" s="116">
        <v>1509611</v>
      </c>
      <c r="U28" s="110">
        <v>7704743</v>
      </c>
      <c r="V28" s="110">
        <v>11088671</v>
      </c>
      <c r="W28" s="110">
        <v>3021290</v>
      </c>
      <c r="X28" s="110">
        <v>3250248</v>
      </c>
      <c r="Y28" s="110">
        <v>3013799</v>
      </c>
      <c r="Z28" s="110">
        <v>1523688</v>
      </c>
      <c r="AA28" s="110"/>
      <c r="AB28" s="110"/>
      <c r="AC28" s="118">
        <f t="shared" si="3"/>
        <v>39653040</v>
      </c>
      <c r="AD28" s="110">
        <v>2009213</v>
      </c>
      <c r="AE28" s="110">
        <v>4441113</v>
      </c>
      <c r="AF28" s="110">
        <v>2090664</v>
      </c>
      <c r="AG28" s="116">
        <v>1509611</v>
      </c>
      <c r="AH28" s="110">
        <v>7704743</v>
      </c>
      <c r="AI28" s="110">
        <v>11088671</v>
      </c>
      <c r="AJ28" s="110">
        <v>3021290</v>
      </c>
      <c r="AK28" s="110">
        <v>3250248</v>
      </c>
      <c r="AL28" s="110">
        <v>3013799</v>
      </c>
      <c r="AM28" s="110">
        <v>1523688</v>
      </c>
      <c r="AN28" s="110"/>
      <c r="AO28" s="110"/>
      <c r="AP28" s="125">
        <f t="shared" si="4"/>
        <v>39653040</v>
      </c>
    </row>
    <row r="29" spans="1:42" s="12" customFormat="1" ht="12.75">
      <c r="A29" s="16" t="s">
        <v>91</v>
      </c>
      <c r="B29" s="48" t="s">
        <v>64</v>
      </c>
      <c r="C29" s="110">
        <v>185083931</v>
      </c>
      <c r="D29" s="116">
        <v>0</v>
      </c>
      <c r="E29" s="116">
        <v>0</v>
      </c>
      <c r="F29" s="116">
        <v>0</v>
      </c>
      <c r="G29" s="116">
        <v>0</v>
      </c>
      <c r="H29" s="110">
        <v>0</v>
      </c>
      <c r="I29" s="110">
        <v>96674713</v>
      </c>
      <c r="J29" s="110">
        <v>0</v>
      </c>
      <c r="K29" s="110">
        <v>0</v>
      </c>
      <c r="L29" s="110">
        <v>0</v>
      </c>
      <c r="M29" s="110">
        <v>0</v>
      </c>
      <c r="N29" s="110"/>
      <c r="O29" s="110"/>
      <c r="P29" s="118">
        <f t="shared" si="2"/>
        <v>96674713</v>
      </c>
      <c r="Q29" s="116">
        <v>0</v>
      </c>
      <c r="R29" s="116">
        <v>0</v>
      </c>
      <c r="S29" s="116">
        <v>0</v>
      </c>
      <c r="T29" s="116">
        <v>0</v>
      </c>
      <c r="U29" s="110">
        <v>0</v>
      </c>
      <c r="V29" s="110">
        <v>96674713</v>
      </c>
      <c r="W29" s="110">
        <v>0</v>
      </c>
      <c r="X29" s="110">
        <v>0</v>
      </c>
      <c r="Y29" s="110">
        <v>0</v>
      </c>
      <c r="Z29" s="110">
        <v>0</v>
      </c>
      <c r="AA29" s="110"/>
      <c r="AB29" s="110"/>
      <c r="AC29" s="118">
        <f t="shared" si="3"/>
        <v>96674713</v>
      </c>
      <c r="AD29" s="110">
        <v>0</v>
      </c>
      <c r="AE29" s="110">
        <v>0</v>
      </c>
      <c r="AF29" s="110">
        <v>0</v>
      </c>
      <c r="AG29" s="116">
        <v>0</v>
      </c>
      <c r="AH29" s="110">
        <v>0</v>
      </c>
      <c r="AI29" s="110">
        <v>96674713</v>
      </c>
      <c r="AJ29" s="110">
        <v>0</v>
      </c>
      <c r="AK29" s="110">
        <v>0</v>
      </c>
      <c r="AL29" s="110">
        <v>0</v>
      </c>
      <c r="AM29" s="110">
        <v>0</v>
      </c>
      <c r="AN29" s="110"/>
      <c r="AO29" s="110"/>
      <c r="AP29" s="125">
        <f t="shared" si="4"/>
        <v>96674713</v>
      </c>
    </row>
    <row r="30" spans="1:42" s="12" customFormat="1" ht="12.75">
      <c r="A30" s="16" t="s">
        <v>92</v>
      </c>
      <c r="B30" s="48" t="s">
        <v>65</v>
      </c>
      <c r="C30" s="110">
        <v>38110000</v>
      </c>
      <c r="D30" s="116">
        <v>0</v>
      </c>
      <c r="E30" s="116">
        <v>3229342</v>
      </c>
      <c r="F30" s="116">
        <v>3482489</v>
      </c>
      <c r="G30" s="116">
        <v>4180046</v>
      </c>
      <c r="H30" s="110">
        <v>3264449</v>
      </c>
      <c r="I30" s="110">
        <v>3922016</v>
      </c>
      <c r="J30" s="110">
        <v>3596520</v>
      </c>
      <c r="K30" s="110">
        <v>3298371</v>
      </c>
      <c r="L30" s="110">
        <v>2955820</v>
      </c>
      <c r="M30" s="110">
        <v>3404612</v>
      </c>
      <c r="N30" s="110"/>
      <c r="O30" s="110"/>
      <c r="P30" s="118">
        <f t="shared" si="2"/>
        <v>31333665</v>
      </c>
      <c r="Q30" s="116">
        <v>0</v>
      </c>
      <c r="R30" s="116">
        <v>3229342</v>
      </c>
      <c r="S30" s="116">
        <v>3482489</v>
      </c>
      <c r="T30" s="116">
        <v>4180046</v>
      </c>
      <c r="U30" s="110">
        <v>3264449</v>
      </c>
      <c r="V30" s="110">
        <v>3922016</v>
      </c>
      <c r="W30" s="110">
        <v>3596520</v>
      </c>
      <c r="X30" s="110">
        <v>3298371</v>
      </c>
      <c r="Y30" s="110">
        <v>2955820</v>
      </c>
      <c r="Z30" s="110">
        <v>3404612</v>
      </c>
      <c r="AA30" s="110"/>
      <c r="AB30" s="110"/>
      <c r="AC30" s="118">
        <f t="shared" si="3"/>
        <v>31333665</v>
      </c>
      <c r="AD30" s="110">
        <v>0</v>
      </c>
      <c r="AE30" s="110">
        <v>3229342</v>
      </c>
      <c r="AF30" s="110">
        <v>3482489</v>
      </c>
      <c r="AG30" s="116">
        <v>4180046</v>
      </c>
      <c r="AH30" s="110">
        <v>3264449</v>
      </c>
      <c r="AI30" s="110">
        <v>3922016</v>
      </c>
      <c r="AJ30" s="110">
        <v>3596520</v>
      </c>
      <c r="AK30" s="110">
        <v>3298371</v>
      </c>
      <c r="AL30" s="110">
        <v>2955820</v>
      </c>
      <c r="AM30" s="110">
        <v>3404612</v>
      </c>
      <c r="AN30" s="110"/>
      <c r="AO30" s="110"/>
      <c r="AP30" s="125">
        <f t="shared" si="4"/>
        <v>31333665</v>
      </c>
    </row>
    <row r="31" spans="1:42" s="12" customFormat="1" ht="12.75">
      <c r="A31" s="16" t="s">
        <v>93</v>
      </c>
      <c r="B31" s="48" t="s">
        <v>66</v>
      </c>
      <c r="C31" s="110">
        <v>0</v>
      </c>
      <c r="D31" s="116">
        <v>0</v>
      </c>
      <c r="E31" s="116">
        <v>0</v>
      </c>
      <c r="F31" s="116">
        <v>0</v>
      </c>
      <c r="G31" s="116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/>
      <c r="O31" s="110"/>
      <c r="P31" s="118">
        <f t="shared" si="2"/>
        <v>0</v>
      </c>
      <c r="Q31" s="116">
        <v>0</v>
      </c>
      <c r="R31" s="116">
        <v>0</v>
      </c>
      <c r="S31" s="116">
        <v>0</v>
      </c>
      <c r="T31" s="116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/>
      <c r="AB31" s="110"/>
      <c r="AC31" s="118">
        <f t="shared" si="3"/>
        <v>0</v>
      </c>
      <c r="AD31" s="110">
        <v>0</v>
      </c>
      <c r="AE31" s="110">
        <v>0</v>
      </c>
      <c r="AF31" s="110">
        <v>0</v>
      </c>
      <c r="AG31" s="116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/>
      <c r="AO31" s="110"/>
      <c r="AP31" s="125">
        <f t="shared" si="4"/>
        <v>0</v>
      </c>
    </row>
    <row r="32" spans="1:42" s="12" customFormat="1" ht="12.75">
      <c r="A32" s="16" t="s">
        <v>94</v>
      </c>
      <c r="B32" s="40" t="s">
        <v>51</v>
      </c>
      <c r="C32" s="110">
        <f>51650000+40000000+40000000</f>
        <v>131650000</v>
      </c>
      <c r="D32" s="116">
        <v>5619481</v>
      </c>
      <c r="E32" s="116">
        <v>16008578</v>
      </c>
      <c r="F32" s="116">
        <v>6597646</v>
      </c>
      <c r="G32" s="116">
        <v>-7532499</v>
      </c>
      <c r="H32" s="110">
        <v>60996551</v>
      </c>
      <c r="I32" s="110">
        <v>9857054</v>
      </c>
      <c r="J32" s="110">
        <v>20518413</v>
      </c>
      <c r="K32" s="110">
        <v>6924719</v>
      </c>
      <c r="L32" s="110">
        <v>12660057</v>
      </c>
      <c r="M32" s="110">
        <v>0</v>
      </c>
      <c r="N32" s="110"/>
      <c r="O32" s="110"/>
      <c r="P32" s="118">
        <f t="shared" si="2"/>
        <v>131650000</v>
      </c>
      <c r="Q32" s="116">
        <v>5619481</v>
      </c>
      <c r="R32" s="116">
        <v>16008578</v>
      </c>
      <c r="S32" s="116">
        <v>6597646</v>
      </c>
      <c r="T32" s="116">
        <v>-7532499</v>
      </c>
      <c r="U32" s="110">
        <v>60996551</v>
      </c>
      <c r="V32" s="110">
        <v>9857054</v>
      </c>
      <c r="W32" s="110">
        <v>20518413</v>
      </c>
      <c r="X32" s="110">
        <v>6924719</v>
      </c>
      <c r="Y32" s="110">
        <v>12660057</v>
      </c>
      <c r="Z32" s="110">
        <v>0</v>
      </c>
      <c r="AA32" s="110"/>
      <c r="AB32" s="110"/>
      <c r="AC32" s="118">
        <f t="shared" si="3"/>
        <v>131650000</v>
      </c>
      <c r="AD32" s="110">
        <v>5619481</v>
      </c>
      <c r="AE32" s="110">
        <v>16008578</v>
      </c>
      <c r="AF32" s="110">
        <v>6597646</v>
      </c>
      <c r="AG32" s="116">
        <v>-7532499</v>
      </c>
      <c r="AH32" s="110">
        <v>60996551</v>
      </c>
      <c r="AI32" s="110">
        <v>9857054</v>
      </c>
      <c r="AJ32" s="110">
        <v>20518413</v>
      </c>
      <c r="AK32" s="110">
        <v>6924719</v>
      </c>
      <c r="AL32" s="110">
        <v>12660057</v>
      </c>
      <c r="AM32" s="110">
        <v>0</v>
      </c>
      <c r="AN32" s="110"/>
      <c r="AO32" s="110"/>
      <c r="AP32" s="125">
        <f t="shared" si="4"/>
        <v>131650000</v>
      </c>
    </row>
    <row r="33" spans="1:42" s="12" customFormat="1" ht="12.75">
      <c r="A33" s="16" t="s">
        <v>95</v>
      </c>
      <c r="B33" s="40" t="s">
        <v>67</v>
      </c>
      <c r="C33" s="126">
        <f>135000000-32270841</f>
        <v>102729159</v>
      </c>
      <c r="D33" s="116">
        <v>65265555</v>
      </c>
      <c r="E33" s="116">
        <v>37463604</v>
      </c>
      <c r="F33" s="116">
        <v>0</v>
      </c>
      <c r="G33" s="116">
        <v>0</v>
      </c>
      <c r="H33" s="110">
        <v>0</v>
      </c>
      <c r="I33" s="110">
        <v>0</v>
      </c>
      <c r="J33" s="110">
        <v>-2497574</v>
      </c>
      <c r="K33" s="110">
        <v>0</v>
      </c>
      <c r="L33" s="110">
        <v>-959481</v>
      </c>
      <c r="M33" s="110">
        <v>0</v>
      </c>
      <c r="N33" s="110"/>
      <c r="O33" s="110"/>
      <c r="P33" s="118">
        <f t="shared" si="2"/>
        <v>99272104</v>
      </c>
      <c r="Q33" s="116">
        <v>0</v>
      </c>
      <c r="R33" s="116">
        <v>11316647</v>
      </c>
      <c r="S33" s="116">
        <v>8512930</v>
      </c>
      <c r="T33" s="116">
        <v>11010504</v>
      </c>
      <c r="U33" s="110">
        <v>11010504</v>
      </c>
      <c r="V33" s="110">
        <v>11010504</v>
      </c>
      <c r="W33" s="110">
        <v>11010504</v>
      </c>
      <c r="X33" s="110">
        <v>5343934</v>
      </c>
      <c r="Y33" s="110">
        <v>4766570</v>
      </c>
      <c r="Z33" s="110">
        <v>4915134</v>
      </c>
      <c r="AA33" s="110"/>
      <c r="AB33" s="110"/>
      <c r="AC33" s="118">
        <f t="shared" si="3"/>
        <v>78897231</v>
      </c>
      <c r="AD33" s="110">
        <v>0</v>
      </c>
      <c r="AE33" s="110">
        <v>11244428</v>
      </c>
      <c r="AF33" s="110">
        <v>8585149</v>
      </c>
      <c r="AG33" s="116">
        <v>11010504</v>
      </c>
      <c r="AH33" s="110">
        <v>11010504</v>
      </c>
      <c r="AI33" s="110">
        <v>11010504</v>
      </c>
      <c r="AJ33" s="110">
        <v>11010504</v>
      </c>
      <c r="AK33" s="110">
        <v>5343934</v>
      </c>
      <c r="AL33" s="110">
        <v>4766570</v>
      </c>
      <c r="AM33" s="110">
        <v>4915134</v>
      </c>
      <c r="AN33" s="110"/>
      <c r="AO33" s="110"/>
      <c r="AP33" s="125">
        <f t="shared" si="4"/>
        <v>78897231</v>
      </c>
    </row>
    <row r="34" spans="1:42" s="12" customFormat="1" ht="12.75">
      <c r="A34" s="16" t="s">
        <v>96</v>
      </c>
      <c r="B34" s="40" t="s">
        <v>68</v>
      </c>
      <c r="C34" s="126">
        <f>55227000+32270841</f>
        <v>87497841</v>
      </c>
      <c r="D34" s="116">
        <v>0</v>
      </c>
      <c r="E34" s="116">
        <v>0</v>
      </c>
      <c r="F34" s="116">
        <v>32627166</v>
      </c>
      <c r="G34" s="116">
        <v>19520610</v>
      </c>
      <c r="H34" s="110">
        <v>6732000</v>
      </c>
      <c r="I34" s="110">
        <v>0</v>
      </c>
      <c r="J34" s="110">
        <v>0</v>
      </c>
      <c r="K34" s="110">
        <v>0</v>
      </c>
      <c r="L34" s="110">
        <v>3630003</v>
      </c>
      <c r="M34" s="110">
        <f>7468660-680303</f>
        <v>6788357</v>
      </c>
      <c r="N34" s="110"/>
      <c r="O34" s="110"/>
      <c r="P34" s="118">
        <f t="shared" si="2"/>
        <v>69298136</v>
      </c>
      <c r="Q34" s="116">
        <v>0</v>
      </c>
      <c r="R34" s="116">
        <v>0</v>
      </c>
      <c r="S34" s="116">
        <v>0</v>
      </c>
      <c r="T34" s="116">
        <v>291558</v>
      </c>
      <c r="U34" s="110">
        <v>14859601</v>
      </c>
      <c r="V34" s="110">
        <v>9258731</v>
      </c>
      <c r="W34" s="110">
        <v>10367861</v>
      </c>
      <c r="X34" s="110">
        <v>9245861</v>
      </c>
      <c r="Y34" s="110">
        <v>4779861</v>
      </c>
      <c r="Z34" s="110">
        <v>8567333</v>
      </c>
      <c r="AA34" s="110"/>
      <c r="AB34" s="110"/>
      <c r="AC34" s="118">
        <f t="shared" si="3"/>
        <v>57370806</v>
      </c>
      <c r="AD34" s="110">
        <v>0</v>
      </c>
      <c r="AE34" s="110">
        <v>0</v>
      </c>
      <c r="AF34" s="110">
        <v>0</v>
      </c>
      <c r="AG34" s="116">
        <v>291558</v>
      </c>
      <c r="AH34" s="110">
        <v>8123861</v>
      </c>
      <c r="AI34" s="110">
        <v>15994471</v>
      </c>
      <c r="AJ34" s="110">
        <v>10367861</v>
      </c>
      <c r="AK34" s="110">
        <v>9245861</v>
      </c>
      <c r="AL34" s="110">
        <v>3808000</v>
      </c>
      <c r="AM34" s="110">
        <v>8417194</v>
      </c>
      <c r="AN34" s="110"/>
      <c r="AO34" s="110"/>
      <c r="AP34" s="125">
        <f t="shared" si="4"/>
        <v>56248806</v>
      </c>
    </row>
    <row r="35" spans="1:42" s="12" customFormat="1" ht="12.75">
      <c r="A35" s="16" t="s">
        <v>97</v>
      </c>
      <c r="B35" s="40" t="s">
        <v>98</v>
      </c>
      <c r="C35" s="110">
        <v>2098976190</v>
      </c>
      <c r="D35" s="116">
        <v>153141065</v>
      </c>
      <c r="E35" s="116">
        <v>154280746</v>
      </c>
      <c r="F35" s="116">
        <v>147213840</v>
      </c>
      <c r="G35" s="116">
        <f>37626000+35954300+76704433+4336903</f>
        <v>154621636</v>
      </c>
      <c r="H35" s="110">
        <v>152548252</v>
      </c>
      <c r="I35" s="110">
        <f>44499200+43827300+87917228+4068967</f>
        <v>180312695</v>
      </c>
      <c r="J35" s="110">
        <v>165742903</v>
      </c>
      <c r="K35" s="110">
        <v>148166074</v>
      </c>
      <c r="L35" s="110">
        <v>152354735</v>
      </c>
      <c r="M35" s="110">
        <v>153306190</v>
      </c>
      <c r="N35" s="110"/>
      <c r="O35" s="110"/>
      <c r="P35" s="118">
        <f t="shared" si="2"/>
        <v>1561688136</v>
      </c>
      <c r="Q35" s="116">
        <v>153141065</v>
      </c>
      <c r="R35" s="116">
        <v>154280746</v>
      </c>
      <c r="S35" s="116">
        <v>147213840</v>
      </c>
      <c r="T35" s="116">
        <f>37626000+35954300+76704433+4336903</f>
        <v>154621636</v>
      </c>
      <c r="U35" s="110">
        <v>150835252</v>
      </c>
      <c r="V35" s="129">
        <f>44621200+43827300+89003828+4573367</f>
        <v>182025695</v>
      </c>
      <c r="W35" s="110">
        <v>165742903</v>
      </c>
      <c r="X35" s="110">
        <v>148166074</v>
      </c>
      <c r="Y35" s="110">
        <v>152354735</v>
      </c>
      <c r="Z35" s="110">
        <v>153306190</v>
      </c>
      <c r="AA35" s="110"/>
      <c r="AB35" s="110"/>
      <c r="AC35" s="118">
        <f t="shared" si="3"/>
        <v>1561688136</v>
      </c>
      <c r="AD35" s="110">
        <v>152359565</v>
      </c>
      <c r="AE35" s="110">
        <v>781500</v>
      </c>
      <c r="AF35" s="110">
        <v>154432946</v>
      </c>
      <c r="AG35" s="116">
        <f>36141900+34941200+71487240+4491300</f>
        <v>147061640</v>
      </c>
      <c r="AH35" s="110">
        <v>264914953</v>
      </c>
      <c r="AI35" s="110">
        <f>44621200+80042500+89003828+8900102</f>
        <v>222567630</v>
      </c>
      <c r="AJ35" s="110">
        <v>165742903</v>
      </c>
      <c r="AK35" s="110">
        <v>148166074</v>
      </c>
      <c r="AL35" s="110">
        <v>152354735</v>
      </c>
      <c r="AM35" s="110">
        <v>153306190</v>
      </c>
      <c r="AN35" s="110"/>
      <c r="AO35" s="110"/>
      <c r="AP35" s="125">
        <f t="shared" si="4"/>
        <v>1561688136</v>
      </c>
    </row>
    <row r="36" spans="1:42" s="12" customFormat="1" ht="12.75">
      <c r="A36" s="16" t="s">
        <v>99</v>
      </c>
      <c r="B36" s="40" t="s">
        <v>69</v>
      </c>
      <c r="C36" s="110">
        <v>1890342605</v>
      </c>
      <c r="D36" s="116">
        <v>147388316</v>
      </c>
      <c r="E36" s="116">
        <v>150575226</v>
      </c>
      <c r="F36" s="116">
        <v>145876072</v>
      </c>
      <c r="G36" s="116">
        <f>84961083+72248700</f>
        <v>157209783</v>
      </c>
      <c r="H36" s="110">
        <v>150715889</v>
      </c>
      <c r="I36" s="110">
        <f>84823989+83843500</f>
        <v>168667489</v>
      </c>
      <c r="J36" s="110">
        <v>185659679</v>
      </c>
      <c r="K36" s="110">
        <v>150951003</v>
      </c>
      <c r="L36" s="110">
        <v>153928216</v>
      </c>
      <c r="M36" s="110">
        <v>154141147</v>
      </c>
      <c r="N36" s="110"/>
      <c r="O36" s="110"/>
      <c r="P36" s="118">
        <f t="shared" si="2"/>
        <v>1565112820</v>
      </c>
      <c r="Q36" s="116">
        <v>147388316</v>
      </c>
      <c r="R36" s="116">
        <v>150575226</v>
      </c>
      <c r="S36" s="116">
        <v>145876072</v>
      </c>
      <c r="T36" s="116">
        <f>84961083+72248700</f>
        <v>157209783</v>
      </c>
      <c r="U36" s="110">
        <v>150715889</v>
      </c>
      <c r="V36" s="110">
        <f>84823989+83843500</f>
        <v>168667489</v>
      </c>
      <c r="W36" s="110">
        <v>185659679</v>
      </c>
      <c r="X36" s="110">
        <v>150951003</v>
      </c>
      <c r="Y36" s="110">
        <v>153928216</v>
      </c>
      <c r="Z36" s="110">
        <v>154141147</v>
      </c>
      <c r="AA36" s="110"/>
      <c r="AB36" s="110"/>
      <c r="AC36" s="118">
        <f t="shared" si="3"/>
        <v>1565112820</v>
      </c>
      <c r="AD36" s="110">
        <v>147318316</v>
      </c>
      <c r="AE36" s="110">
        <v>78473426</v>
      </c>
      <c r="AF36" s="110">
        <v>147763072</v>
      </c>
      <c r="AG36" s="116">
        <f>84961083+70284800</f>
        <v>155245883</v>
      </c>
      <c r="AH36" s="110">
        <v>222964589</v>
      </c>
      <c r="AI36" s="110">
        <f>84823989+83843500</f>
        <v>168667489</v>
      </c>
      <c r="AJ36" s="110">
        <v>185659679</v>
      </c>
      <c r="AK36" s="110">
        <v>150951003</v>
      </c>
      <c r="AL36" s="110">
        <v>136149112</v>
      </c>
      <c r="AM36" s="110">
        <v>171920251</v>
      </c>
      <c r="AN36" s="110"/>
      <c r="AO36" s="110"/>
      <c r="AP36" s="125">
        <f t="shared" si="4"/>
        <v>1565112820</v>
      </c>
    </row>
    <row r="37" spans="1:42" s="12" customFormat="1" ht="12.75">
      <c r="A37" s="16" t="s">
        <v>100</v>
      </c>
      <c r="B37" s="40" t="s">
        <v>70</v>
      </c>
      <c r="C37" s="110">
        <v>366246680</v>
      </c>
      <c r="D37" s="116">
        <v>27775600</v>
      </c>
      <c r="E37" s="116">
        <v>28168800</v>
      </c>
      <c r="F37" s="116">
        <v>27131000</v>
      </c>
      <c r="G37" s="116">
        <v>28218900</v>
      </c>
      <c r="H37" s="110">
        <v>28470900</v>
      </c>
      <c r="I37" s="110">
        <v>33377300</v>
      </c>
      <c r="J37" s="110">
        <v>41018700</v>
      </c>
      <c r="K37" s="110">
        <v>28347800</v>
      </c>
      <c r="L37" s="110">
        <v>28435000</v>
      </c>
      <c r="M37" s="110">
        <v>28715100</v>
      </c>
      <c r="N37" s="110"/>
      <c r="O37" s="110"/>
      <c r="P37" s="118">
        <f t="shared" si="2"/>
        <v>299659100</v>
      </c>
      <c r="Q37" s="116">
        <v>27775600</v>
      </c>
      <c r="R37" s="116">
        <v>28168800</v>
      </c>
      <c r="S37" s="116">
        <v>27131000</v>
      </c>
      <c r="T37" s="116">
        <v>28218900</v>
      </c>
      <c r="U37" s="110">
        <v>28379300</v>
      </c>
      <c r="V37" s="110">
        <v>33468900</v>
      </c>
      <c r="W37" s="110">
        <v>41018700</v>
      </c>
      <c r="X37" s="110">
        <v>28347800</v>
      </c>
      <c r="Y37" s="110">
        <v>28435000</v>
      </c>
      <c r="Z37" s="110">
        <v>28715100</v>
      </c>
      <c r="AA37" s="110"/>
      <c r="AB37" s="110"/>
      <c r="AC37" s="118">
        <f t="shared" si="3"/>
        <v>299659100</v>
      </c>
      <c r="AD37" s="110">
        <v>27698700</v>
      </c>
      <c r="AE37" s="110">
        <v>76900</v>
      </c>
      <c r="AF37" s="110">
        <v>28195600</v>
      </c>
      <c r="AG37" s="116">
        <v>27104200</v>
      </c>
      <c r="AH37" s="110">
        <v>56598200</v>
      </c>
      <c r="AI37" s="110">
        <v>33468900</v>
      </c>
      <c r="AJ37" s="110">
        <v>41018700</v>
      </c>
      <c r="AK37" s="110">
        <v>28347800</v>
      </c>
      <c r="AL37" s="110">
        <v>28435000</v>
      </c>
      <c r="AM37" s="110">
        <v>28715100</v>
      </c>
      <c r="AN37" s="110"/>
      <c r="AO37" s="110"/>
      <c r="AP37" s="125">
        <f t="shared" si="4"/>
        <v>299659100</v>
      </c>
    </row>
    <row r="38" spans="1:42" s="12" customFormat="1" ht="12.75">
      <c r="A38" s="16" t="s">
        <v>101</v>
      </c>
      <c r="B38" s="40" t="s">
        <v>71</v>
      </c>
      <c r="C38" s="110">
        <v>61041114</v>
      </c>
      <c r="D38" s="116">
        <v>4627100</v>
      </c>
      <c r="E38" s="116">
        <v>4691000</v>
      </c>
      <c r="F38" s="116">
        <v>4518000</v>
      </c>
      <c r="G38" s="116">
        <v>4702700</v>
      </c>
      <c r="H38" s="110">
        <v>4743800</v>
      </c>
      <c r="I38" s="110">
        <v>5564900</v>
      </c>
      <c r="J38" s="110">
        <v>6834400</v>
      </c>
      <c r="K38" s="110">
        <v>4723500</v>
      </c>
      <c r="L38" s="110">
        <v>4738100</v>
      </c>
      <c r="M38" s="110">
        <v>4784900</v>
      </c>
      <c r="N38" s="110"/>
      <c r="O38" s="110"/>
      <c r="P38" s="118">
        <f t="shared" si="2"/>
        <v>49928400</v>
      </c>
      <c r="Q38" s="116">
        <v>4627100</v>
      </c>
      <c r="R38" s="116">
        <v>4691000</v>
      </c>
      <c r="S38" s="116">
        <v>4518000</v>
      </c>
      <c r="T38" s="116">
        <v>4702700</v>
      </c>
      <c r="U38" s="110">
        <v>4728500</v>
      </c>
      <c r="V38" s="110">
        <v>5580200</v>
      </c>
      <c r="W38" s="110">
        <v>6834400</v>
      </c>
      <c r="X38" s="110">
        <v>4723500</v>
      </c>
      <c r="Y38" s="110">
        <v>4738100</v>
      </c>
      <c r="Z38" s="110">
        <v>4784900</v>
      </c>
      <c r="AA38" s="110"/>
      <c r="AB38" s="110"/>
      <c r="AC38" s="118">
        <f t="shared" si="3"/>
        <v>49928400</v>
      </c>
      <c r="AD38" s="110">
        <v>4614300</v>
      </c>
      <c r="AE38" s="110">
        <v>12800</v>
      </c>
      <c r="AF38" s="110">
        <v>4695400</v>
      </c>
      <c r="AG38" s="116">
        <v>4513600</v>
      </c>
      <c r="AH38" s="110">
        <v>4702700</v>
      </c>
      <c r="AI38" s="110">
        <v>10308700</v>
      </c>
      <c r="AJ38" s="110">
        <v>6834400</v>
      </c>
      <c r="AK38" s="110">
        <v>4723500</v>
      </c>
      <c r="AL38" s="110">
        <v>4738100</v>
      </c>
      <c r="AM38" s="110">
        <v>4784900</v>
      </c>
      <c r="AN38" s="110"/>
      <c r="AO38" s="110"/>
      <c r="AP38" s="125">
        <f t="shared" si="4"/>
        <v>49928400</v>
      </c>
    </row>
    <row r="39" spans="1:42" s="12" customFormat="1" ht="12.75">
      <c r="A39" s="16" t="s">
        <v>102</v>
      </c>
      <c r="B39" s="40" t="s">
        <v>72</v>
      </c>
      <c r="C39" s="110">
        <v>61041114</v>
      </c>
      <c r="D39" s="116">
        <v>4627100</v>
      </c>
      <c r="E39" s="116">
        <v>4691000</v>
      </c>
      <c r="F39" s="116">
        <v>4518000</v>
      </c>
      <c r="G39" s="116">
        <v>4702700</v>
      </c>
      <c r="H39" s="110">
        <v>4743800</v>
      </c>
      <c r="I39" s="110">
        <v>5564900</v>
      </c>
      <c r="J39" s="110">
        <v>6834400</v>
      </c>
      <c r="K39" s="110">
        <v>4723500</v>
      </c>
      <c r="L39" s="110">
        <v>4738100</v>
      </c>
      <c r="M39" s="110">
        <v>4784900</v>
      </c>
      <c r="N39" s="110"/>
      <c r="O39" s="110"/>
      <c r="P39" s="118">
        <f t="shared" si="2"/>
        <v>49928400</v>
      </c>
      <c r="Q39" s="116">
        <v>4627100</v>
      </c>
      <c r="R39" s="116">
        <v>4691000</v>
      </c>
      <c r="S39" s="116">
        <v>4518000</v>
      </c>
      <c r="T39" s="116">
        <v>4702700</v>
      </c>
      <c r="U39" s="110">
        <v>4728500</v>
      </c>
      <c r="V39" s="110">
        <v>5580200</v>
      </c>
      <c r="W39" s="110">
        <v>6834400</v>
      </c>
      <c r="X39" s="110">
        <v>4723500</v>
      </c>
      <c r="Y39" s="110">
        <v>4738100</v>
      </c>
      <c r="Z39" s="110">
        <v>4784900</v>
      </c>
      <c r="AA39" s="110"/>
      <c r="AB39" s="110"/>
      <c r="AC39" s="118">
        <f t="shared" si="3"/>
        <v>49928400</v>
      </c>
      <c r="AD39" s="110">
        <v>4614300</v>
      </c>
      <c r="AE39" s="110">
        <v>12800</v>
      </c>
      <c r="AF39" s="110">
        <v>4695400</v>
      </c>
      <c r="AG39" s="116">
        <v>4513600</v>
      </c>
      <c r="AH39" s="110">
        <v>4702700</v>
      </c>
      <c r="AI39" s="110">
        <v>10308700</v>
      </c>
      <c r="AJ39" s="110">
        <v>6834400</v>
      </c>
      <c r="AK39" s="110">
        <v>4723500</v>
      </c>
      <c r="AL39" s="110">
        <v>4738100</v>
      </c>
      <c r="AM39" s="110">
        <v>4784900</v>
      </c>
      <c r="AN39" s="110"/>
      <c r="AO39" s="110"/>
      <c r="AP39" s="125">
        <f t="shared" si="4"/>
        <v>49928400</v>
      </c>
    </row>
    <row r="40" spans="1:42" s="12" customFormat="1" ht="13.5" thickBot="1">
      <c r="A40" s="16" t="s">
        <v>103</v>
      </c>
      <c r="B40" s="40" t="s">
        <v>73</v>
      </c>
      <c r="C40" s="49">
        <v>122082228</v>
      </c>
      <c r="D40" s="111">
        <v>9255600</v>
      </c>
      <c r="E40" s="111">
        <v>9388500</v>
      </c>
      <c r="F40" s="111">
        <v>9043500</v>
      </c>
      <c r="G40" s="111">
        <v>9405500</v>
      </c>
      <c r="H40" s="49">
        <v>9488600</v>
      </c>
      <c r="I40" s="49">
        <v>11117100</v>
      </c>
      <c r="J40" s="49">
        <v>13670500</v>
      </c>
      <c r="K40" s="49">
        <v>9448300</v>
      </c>
      <c r="L40" s="49">
        <v>9476200</v>
      </c>
      <c r="M40" s="49">
        <v>9570300</v>
      </c>
      <c r="N40" s="49"/>
      <c r="O40" s="49"/>
      <c r="P40" s="45">
        <f t="shared" si="2"/>
        <v>99864100</v>
      </c>
      <c r="Q40" s="111">
        <v>9255600</v>
      </c>
      <c r="R40" s="111">
        <v>9388500</v>
      </c>
      <c r="S40" s="111">
        <v>9043500</v>
      </c>
      <c r="T40" s="111">
        <v>9405500</v>
      </c>
      <c r="U40" s="49">
        <v>9458100</v>
      </c>
      <c r="V40" s="49">
        <v>11147600</v>
      </c>
      <c r="W40" s="49">
        <v>13670500</v>
      </c>
      <c r="X40" s="49">
        <v>9448300</v>
      </c>
      <c r="Y40" s="49">
        <v>9476200</v>
      </c>
      <c r="Z40" s="49">
        <v>9570300</v>
      </c>
      <c r="AA40" s="49"/>
      <c r="AB40" s="49"/>
      <c r="AC40" s="45">
        <f t="shared" si="3"/>
        <v>99864100</v>
      </c>
      <c r="AD40" s="49">
        <v>9230000</v>
      </c>
      <c r="AE40" s="49">
        <v>25600</v>
      </c>
      <c r="AF40" s="49">
        <v>9397400</v>
      </c>
      <c r="AG40" s="111">
        <v>9034600</v>
      </c>
      <c r="AH40" s="49">
        <v>9405500</v>
      </c>
      <c r="AI40" s="49">
        <v>20605700</v>
      </c>
      <c r="AJ40" s="49">
        <v>13670500</v>
      </c>
      <c r="AK40" s="49">
        <v>9448300</v>
      </c>
      <c r="AL40" s="49">
        <v>9476200</v>
      </c>
      <c r="AM40" s="49">
        <v>9570300</v>
      </c>
      <c r="AN40" s="49"/>
      <c r="AO40" s="49"/>
      <c r="AP40" s="123">
        <f t="shared" si="4"/>
        <v>99864100</v>
      </c>
    </row>
    <row r="41" spans="1:42" s="14" customFormat="1" ht="13.5" thickBot="1">
      <c r="A41" s="21"/>
      <c r="B41" s="46" t="s">
        <v>43</v>
      </c>
      <c r="C41" s="47">
        <f aca="true" t="shared" si="5" ref="C41:AP41">SUM(C42:C52)</f>
        <v>1464332160</v>
      </c>
      <c r="D41" s="47">
        <f t="shared" si="5"/>
        <v>1030464134</v>
      </c>
      <c r="E41" s="47">
        <f t="shared" si="5"/>
        <v>47481744</v>
      </c>
      <c r="F41" s="47">
        <f t="shared" si="5"/>
        <v>23373742</v>
      </c>
      <c r="G41" s="47">
        <f t="shared" si="5"/>
        <v>29594094</v>
      </c>
      <c r="H41" s="47">
        <f t="shared" si="5"/>
        <v>98089369</v>
      </c>
      <c r="I41" s="47">
        <f t="shared" si="5"/>
        <v>18903327</v>
      </c>
      <c r="J41" s="47">
        <f t="shared" si="5"/>
        <v>17435836</v>
      </c>
      <c r="K41" s="47">
        <f t="shared" si="5"/>
        <v>36859754</v>
      </c>
      <c r="L41" s="47">
        <f t="shared" si="5"/>
        <v>31320146</v>
      </c>
      <c r="M41" s="47">
        <f t="shared" si="5"/>
        <v>75493880.72</v>
      </c>
      <c r="N41" s="47">
        <f t="shared" si="5"/>
        <v>0</v>
      </c>
      <c r="O41" s="47">
        <f t="shared" si="5"/>
        <v>0</v>
      </c>
      <c r="P41" s="47">
        <f t="shared" si="5"/>
        <v>1409016026.72</v>
      </c>
      <c r="Q41" s="47">
        <f t="shared" si="5"/>
        <v>12888450</v>
      </c>
      <c r="R41" s="47">
        <f t="shared" si="5"/>
        <v>153177496</v>
      </c>
      <c r="S41" s="47">
        <f t="shared" si="5"/>
        <v>127734347</v>
      </c>
      <c r="T41" s="47">
        <f t="shared" si="5"/>
        <v>57177160</v>
      </c>
      <c r="U41" s="47">
        <f t="shared" si="5"/>
        <v>106164006</v>
      </c>
      <c r="V41" s="47">
        <f t="shared" si="5"/>
        <v>188635456</v>
      </c>
      <c r="W41" s="47">
        <f t="shared" si="5"/>
        <v>95355508</v>
      </c>
      <c r="X41" s="47">
        <f t="shared" si="5"/>
        <v>67681399</v>
      </c>
      <c r="Y41" s="47">
        <f t="shared" si="5"/>
        <v>126164844</v>
      </c>
      <c r="Z41" s="47">
        <f t="shared" si="5"/>
        <v>148328171</v>
      </c>
      <c r="AA41" s="47">
        <f t="shared" si="5"/>
        <v>0</v>
      </c>
      <c r="AB41" s="47">
        <f t="shared" si="5"/>
        <v>0</v>
      </c>
      <c r="AC41" s="47">
        <f t="shared" si="5"/>
        <v>1083306837</v>
      </c>
      <c r="AD41" s="47">
        <f t="shared" si="5"/>
        <v>12842950</v>
      </c>
      <c r="AE41" s="47">
        <f t="shared" si="5"/>
        <v>153222996</v>
      </c>
      <c r="AF41" s="47">
        <f t="shared" si="5"/>
        <v>127734347</v>
      </c>
      <c r="AG41" s="47">
        <f t="shared" si="5"/>
        <v>57177160</v>
      </c>
      <c r="AH41" s="47">
        <f t="shared" si="5"/>
        <v>106164006</v>
      </c>
      <c r="AI41" s="47">
        <f t="shared" si="5"/>
        <v>133437609</v>
      </c>
      <c r="AJ41" s="47">
        <f t="shared" si="5"/>
        <v>95355508</v>
      </c>
      <c r="AK41" s="47">
        <f t="shared" si="5"/>
        <v>97208097</v>
      </c>
      <c r="AL41" s="47">
        <f t="shared" si="5"/>
        <v>121690096</v>
      </c>
      <c r="AM41" s="47">
        <f t="shared" si="5"/>
        <v>177082795</v>
      </c>
      <c r="AN41" s="47">
        <f t="shared" si="5"/>
        <v>0</v>
      </c>
      <c r="AO41" s="47">
        <f t="shared" si="5"/>
        <v>0</v>
      </c>
      <c r="AP41" s="37">
        <f t="shared" si="5"/>
        <v>1081915564</v>
      </c>
    </row>
    <row r="42" spans="1:42" s="12" customFormat="1" ht="13.5" thickBot="1">
      <c r="A42" s="16" t="s">
        <v>166</v>
      </c>
      <c r="B42" s="48" t="s">
        <v>167</v>
      </c>
      <c r="C42" s="44">
        <f>1000000+4094000</f>
        <v>5094000</v>
      </c>
      <c r="D42" s="103"/>
      <c r="E42" s="113"/>
      <c r="F42" s="103"/>
      <c r="G42" s="103"/>
      <c r="H42" s="44"/>
      <c r="I42" s="44">
        <v>0</v>
      </c>
      <c r="J42" s="44">
        <v>0</v>
      </c>
      <c r="K42" s="44">
        <v>890300</v>
      </c>
      <c r="L42" s="44">
        <v>0</v>
      </c>
      <c r="M42" s="44"/>
      <c r="N42" s="44"/>
      <c r="O42" s="44"/>
      <c r="P42" s="72">
        <f t="shared" si="2"/>
        <v>890300</v>
      </c>
      <c r="Q42" s="103"/>
      <c r="R42" s="119"/>
      <c r="S42" s="103"/>
      <c r="T42" s="103"/>
      <c r="U42" s="44"/>
      <c r="V42" s="44">
        <v>0</v>
      </c>
      <c r="W42" s="44">
        <v>0</v>
      </c>
      <c r="X42" s="44">
        <v>890300</v>
      </c>
      <c r="Y42" s="44">
        <v>0</v>
      </c>
      <c r="Z42" s="44"/>
      <c r="AA42" s="44"/>
      <c r="AB42" s="44"/>
      <c r="AC42" s="118">
        <f aca="true" t="shared" si="6" ref="AC42:AC52">SUM(Q42:AB42)</f>
        <v>890300</v>
      </c>
      <c r="AD42" s="44"/>
      <c r="AE42" s="120"/>
      <c r="AF42" s="44"/>
      <c r="AG42" s="103"/>
      <c r="AH42" s="44"/>
      <c r="AI42" s="110">
        <v>0</v>
      </c>
      <c r="AJ42" s="44">
        <v>0</v>
      </c>
      <c r="AK42" s="44">
        <v>890300</v>
      </c>
      <c r="AL42" s="44">
        <v>0</v>
      </c>
      <c r="AM42" s="103"/>
      <c r="AN42" s="103"/>
      <c r="AO42" s="103"/>
      <c r="AP42" s="118">
        <f>SUM(AD42:AO42)</f>
        <v>890300</v>
      </c>
    </row>
    <row r="43" spans="1:42" s="12" customFormat="1" ht="12.75">
      <c r="A43" s="16" t="s">
        <v>151</v>
      </c>
      <c r="B43" s="48" t="s">
        <v>152</v>
      </c>
      <c r="C43" s="44">
        <f>25000000+4500000</f>
        <v>29500000</v>
      </c>
      <c r="D43" s="103">
        <v>0</v>
      </c>
      <c r="E43" s="113">
        <f>19117310</f>
        <v>19117310</v>
      </c>
      <c r="F43" s="103">
        <v>0</v>
      </c>
      <c r="G43" s="103">
        <v>5780004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/>
      <c r="N43" s="44"/>
      <c r="O43" s="44"/>
      <c r="P43" s="72">
        <f>SUM(D43:O43)</f>
        <v>24897314</v>
      </c>
      <c r="Q43" s="103">
        <v>0</v>
      </c>
      <c r="R43" s="119"/>
      <c r="S43" s="103">
        <f>19117310</f>
        <v>19117310</v>
      </c>
      <c r="T43" s="103">
        <v>0</v>
      </c>
      <c r="U43" s="44">
        <v>0</v>
      </c>
      <c r="V43" s="44">
        <v>5780004</v>
      </c>
      <c r="W43" s="44">
        <v>0</v>
      </c>
      <c r="X43" s="44">
        <v>0</v>
      </c>
      <c r="Y43" s="44">
        <v>0</v>
      </c>
      <c r="Z43" s="44"/>
      <c r="AA43" s="44"/>
      <c r="AB43" s="44"/>
      <c r="AC43" s="72">
        <f>SUM(Q43:AB43)</f>
        <v>24897314</v>
      </c>
      <c r="AD43" s="44">
        <v>0</v>
      </c>
      <c r="AE43" s="120"/>
      <c r="AF43" s="44">
        <f>19117310</f>
        <v>19117310</v>
      </c>
      <c r="AG43" s="103">
        <v>0</v>
      </c>
      <c r="AH43" s="44">
        <v>0</v>
      </c>
      <c r="AI43" s="110">
        <f>5780004</f>
        <v>5780004</v>
      </c>
      <c r="AJ43" s="44">
        <v>0</v>
      </c>
      <c r="AK43" s="44">
        <v>0</v>
      </c>
      <c r="AL43" s="44">
        <v>0</v>
      </c>
      <c r="AM43" s="103"/>
      <c r="AN43" s="103"/>
      <c r="AO43" s="103"/>
      <c r="AP43" s="73">
        <f>SUM(AD43:AO43)</f>
        <v>24897314</v>
      </c>
    </row>
    <row r="44" spans="1:42" s="12" customFormat="1" ht="12.75">
      <c r="A44" s="16" t="s">
        <v>142</v>
      </c>
      <c r="B44" s="48" t="s">
        <v>106</v>
      </c>
      <c r="C44" s="126">
        <f>92600000+7101568</f>
        <v>99701568</v>
      </c>
      <c r="D44" s="116">
        <v>0</v>
      </c>
      <c r="E44" s="116">
        <f>4500000+1997645+1359011+1999191</f>
        <v>9855847</v>
      </c>
      <c r="F44" s="116">
        <v>0</v>
      </c>
      <c r="G44" s="116">
        <f>985868+983695</f>
        <v>1969563</v>
      </c>
      <c r="H44" s="110">
        <f>75999781+1244803</f>
        <v>77244584</v>
      </c>
      <c r="I44" s="110">
        <v>0</v>
      </c>
      <c r="J44" s="110">
        <v>0</v>
      </c>
      <c r="K44" s="110">
        <f>2499508</f>
        <v>2499508</v>
      </c>
      <c r="L44" s="110">
        <f>191008</f>
        <v>191008</v>
      </c>
      <c r="M44" s="110">
        <f>255150</f>
        <v>255150</v>
      </c>
      <c r="N44" s="110"/>
      <c r="O44" s="110"/>
      <c r="P44" s="118">
        <f t="shared" si="2"/>
        <v>92015660</v>
      </c>
      <c r="Q44" s="116">
        <v>0</v>
      </c>
      <c r="R44" s="117">
        <f>4500000+748806+1999191</f>
        <v>7247997</v>
      </c>
      <c r="S44" s="116">
        <f>1248839+1359011</f>
        <v>2607850</v>
      </c>
      <c r="T44" s="116">
        <f>985868+983695</f>
        <v>1969563</v>
      </c>
      <c r="U44" s="110">
        <v>0</v>
      </c>
      <c r="V44" s="110">
        <v>26578064</v>
      </c>
      <c r="W44" s="110">
        <v>0</v>
      </c>
      <c r="X44" s="110">
        <v>0</v>
      </c>
      <c r="Y44" s="110">
        <f>23403107+2499508</f>
        <v>25902615</v>
      </c>
      <c r="Z44" s="110">
        <f>191008</f>
        <v>191008</v>
      </c>
      <c r="AA44" s="110"/>
      <c r="AB44" s="110"/>
      <c r="AC44" s="118">
        <f t="shared" si="6"/>
        <v>64497097</v>
      </c>
      <c r="AD44" s="110">
        <v>0</v>
      </c>
      <c r="AE44" s="118">
        <f>4500000+748806+1999191</f>
        <v>7247997</v>
      </c>
      <c r="AF44" s="110">
        <f>1248839+1359011</f>
        <v>2607850</v>
      </c>
      <c r="AG44" s="116">
        <f>985868+983695</f>
        <v>1969563</v>
      </c>
      <c r="AH44" s="110">
        <v>0</v>
      </c>
      <c r="AI44" s="110">
        <f>25333261+1244803</f>
        <v>26578064</v>
      </c>
      <c r="AJ44" s="110">
        <v>0</v>
      </c>
      <c r="AK44" s="110">
        <v>0</v>
      </c>
      <c r="AL44" s="110">
        <f>2499508</f>
        <v>2499508</v>
      </c>
      <c r="AM44" s="110">
        <f>23403107+191008</f>
        <v>23594115</v>
      </c>
      <c r="AN44" s="116"/>
      <c r="AO44" s="116"/>
      <c r="AP44" s="125">
        <f aca="true" t="shared" si="7" ref="AP44:AP52">SUM(AD44:AO44)</f>
        <v>64497097</v>
      </c>
    </row>
    <row r="45" spans="1:42" s="12" customFormat="1" ht="12.75">
      <c r="A45" s="16" t="s">
        <v>111</v>
      </c>
      <c r="B45" s="48" t="s">
        <v>107</v>
      </c>
      <c r="C45" s="110">
        <f>1045479992-1000000-3951769</f>
        <v>1040528223</v>
      </c>
      <c r="D45" s="116">
        <v>1017575684</v>
      </c>
      <c r="E45" s="116"/>
      <c r="F45" s="116">
        <v>0</v>
      </c>
      <c r="G45" s="116">
        <v>0</v>
      </c>
      <c r="H45" s="110">
        <v>0</v>
      </c>
      <c r="I45" s="110">
        <v>1999840</v>
      </c>
      <c r="J45" s="110">
        <f>1499939</f>
        <v>1499939</v>
      </c>
      <c r="K45" s="110">
        <v>0</v>
      </c>
      <c r="L45" s="110">
        <f>3392784</f>
        <v>3392784</v>
      </c>
      <c r="M45" s="110">
        <f>6254976</f>
        <v>6254976</v>
      </c>
      <c r="N45" s="110"/>
      <c r="O45" s="110"/>
      <c r="P45" s="118">
        <f t="shared" si="2"/>
        <v>1030723223</v>
      </c>
      <c r="Q45" s="116">
        <v>0</v>
      </c>
      <c r="R45" s="116">
        <f>127978832</f>
        <v>127978832</v>
      </c>
      <c r="S45" s="116">
        <v>85319221</v>
      </c>
      <c r="T45" s="116">
        <v>30121374</v>
      </c>
      <c r="U45" s="110">
        <v>85319221</v>
      </c>
      <c r="V45" s="110">
        <f>30121374+110395694</f>
        <v>140517068</v>
      </c>
      <c r="W45" s="110">
        <f>85319221+300000</f>
        <v>85619221</v>
      </c>
      <c r="X45" s="110">
        <f>30121374+1199939+1999840</f>
        <v>33321153</v>
      </c>
      <c r="Y45" s="110">
        <f>85319221</f>
        <v>85319221</v>
      </c>
      <c r="Z45" s="110">
        <f>143203022</f>
        <v>143203022</v>
      </c>
      <c r="AA45" s="110"/>
      <c r="AB45" s="110"/>
      <c r="AC45" s="118">
        <f t="shared" si="6"/>
        <v>816718333</v>
      </c>
      <c r="AD45" s="110">
        <v>0</v>
      </c>
      <c r="AE45" s="110">
        <f>127978832</f>
        <v>127978832</v>
      </c>
      <c r="AF45" s="110">
        <v>85319221</v>
      </c>
      <c r="AG45" s="116">
        <v>30121374</v>
      </c>
      <c r="AH45" s="110">
        <v>85319221</v>
      </c>
      <c r="AI45" s="110">
        <f>30121374+55197847</f>
        <v>85319221</v>
      </c>
      <c r="AJ45" s="110">
        <f>85319221+300000</f>
        <v>85619221</v>
      </c>
      <c r="AK45" s="110">
        <f>85319221+1199939+1999840</f>
        <v>88519000</v>
      </c>
      <c r="AL45" s="110">
        <f>85319221</f>
        <v>85319221</v>
      </c>
      <c r="AM45" s="110">
        <f>143203022</f>
        <v>143203022</v>
      </c>
      <c r="AN45" s="116"/>
      <c r="AO45" s="116"/>
      <c r="AP45" s="125">
        <f t="shared" si="7"/>
        <v>816718333</v>
      </c>
    </row>
    <row r="46" spans="1:42" s="12" customFormat="1" ht="12.75">
      <c r="A46" s="16" t="s">
        <v>146</v>
      </c>
      <c r="B46" s="48" t="s">
        <v>145</v>
      </c>
      <c r="C46" s="110">
        <f>4000000-1145313</f>
        <v>2854687</v>
      </c>
      <c r="D46" s="116">
        <v>45500</v>
      </c>
      <c r="E46" s="116">
        <f>254700</f>
        <v>254700</v>
      </c>
      <c r="F46" s="116">
        <v>0</v>
      </c>
      <c r="G46" s="116">
        <v>0</v>
      </c>
      <c r="H46" s="110">
        <v>0</v>
      </c>
      <c r="I46" s="110">
        <v>0</v>
      </c>
      <c r="J46" s="110">
        <v>599987</v>
      </c>
      <c r="K46" s="110">
        <v>0</v>
      </c>
      <c r="L46" s="110">
        <v>0</v>
      </c>
      <c r="M46" s="110">
        <f>953960</f>
        <v>953960</v>
      </c>
      <c r="N46" s="110"/>
      <c r="O46" s="110"/>
      <c r="P46" s="118">
        <f t="shared" si="2"/>
        <v>1854147</v>
      </c>
      <c r="Q46" s="116">
        <v>45500</v>
      </c>
      <c r="R46" s="117">
        <f>254700</f>
        <v>254700</v>
      </c>
      <c r="S46" s="116">
        <v>0</v>
      </c>
      <c r="T46" s="116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f>599987</f>
        <v>599987</v>
      </c>
      <c r="Z46" s="110"/>
      <c r="AA46" s="110"/>
      <c r="AB46" s="110"/>
      <c r="AC46" s="118">
        <f t="shared" si="6"/>
        <v>900187</v>
      </c>
      <c r="AD46" s="110">
        <v>0</v>
      </c>
      <c r="AE46" s="118">
        <f>254700+45500</f>
        <v>300200</v>
      </c>
      <c r="AF46" s="110">
        <v>0</v>
      </c>
      <c r="AG46" s="116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f>599987</f>
        <v>599987</v>
      </c>
      <c r="AM46" s="110"/>
      <c r="AN46" s="116"/>
      <c r="AO46" s="116"/>
      <c r="AP46" s="125">
        <f t="shared" si="7"/>
        <v>900187</v>
      </c>
    </row>
    <row r="47" spans="1:42" s="12" customFormat="1" ht="12.75">
      <c r="A47" s="16" t="s">
        <v>112</v>
      </c>
      <c r="B47" s="48" t="s">
        <v>108</v>
      </c>
      <c r="C47" s="110">
        <f>161752168-10498486</f>
        <v>151253682</v>
      </c>
      <c r="D47" s="116">
        <v>12842950</v>
      </c>
      <c r="E47" s="117">
        <f>8796164+2154704+2562827+3305716+1034476</f>
        <v>17853887</v>
      </c>
      <c r="F47" s="116">
        <f>8470260+2553800+2211152+3379069+2003161+1514604</f>
        <v>20132046</v>
      </c>
      <c r="G47" s="116">
        <f>658445+8001800+209900+2533528+325341+3991029+447673+2077903+211261+988737+2398910</f>
        <v>21844527</v>
      </c>
      <c r="H47" s="110">
        <f>8323713+2030871+4421261+2447754+1356456+2264730</f>
        <v>20844785</v>
      </c>
      <c r="I47" s="110">
        <f>1386919+15516568</f>
        <v>16903487</v>
      </c>
      <c r="J47" s="110">
        <f>726962+307730+2638844+3875159+1044425</f>
        <v>8593120</v>
      </c>
      <c r="K47" s="110">
        <f>433290+2668728+4541893+154886</f>
        <v>7798797</v>
      </c>
      <c r="L47" s="110">
        <f>9020+361240+4391271+177398</f>
        <v>4938929</v>
      </c>
      <c r="M47" s="110">
        <f>89740+239238+495626</f>
        <v>824604</v>
      </c>
      <c r="N47" s="110"/>
      <c r="O47" s="110"/>
      <c r="P47" s="118">
        <f t="shared" si="2"/>
        <v>132577132</v>
      </c>
      <c r="Q47" s="116">
        <v>12842950</v>
      </c>
      <c r="R47" s="117">
        <f>8238244+2154704+2562827+3305716+1034476</f>
        <v>17295967</v>
      </c>
      <c r="S47" s="116">
        <f>9028180+2553800+2211152+3379069+2003161+1514604</f>
        <v>20689966</v>
      </c>
      <c r="T47" s="116">
        <f>658445+8001800+209900+2533528+325341+3991029+447673+2077903+211261+988737+2398910</f>
        <v>21844527</v>
      </c>
      <c r="U47" s="110">
        <f>8323713+2030871+4421261+2447754+1356456+2264730</f>
        <v>20844785</v>
      </c>
      <c r="V47" s="110">
        <f>1343252+14417068</f>
        <v>15760320</v>
      </c>
      <c r="W47" s="110">
        <f>1870129+307730+2638844+3875159+1044425</f>
        <v>9736287</v>
      </c>
      <c r="X47" s="110">
        <f>433290+2668728+4541893+154886</f>
        <v>7798797</v>
      </c>
      <c r="Y47" s="110">
        <f>9020+361240+4391271+177398</f>
        <v>4938929</v>
      </c>
      <c r="Z47" s="110">
        <f>89740+239238+495626</f>
        <v>824604</v>
      </c>
      <c r="AA47" s="110"/>
      <c r="AB47" s="110"/>
      <c r="AC47" s="118">
        <f t="shared" si="6"/>
        <v>132577132</v>
      </c>
      <c r="AD47" s="110">
        <v>12842950</v>
      </c>
      <c r="AE47" s="118">
        <f>8238244+2154704+2562827+3305716+1034476</f>
        <v>17295967</v>
      </c>
      <c r="AF47" s="110">
        <f>9028180+2553800+2211152+3379069+2003161+1514604</f>
        <v>20689966</v>
      </c>
      <c r="AG47" s="116">
        <f>658445+8001800+209900+2533528+325341+3991029+447673+2077903+211261+988737+2398910</f>
        <v>21844527</v>
      </c>
      <c r="AH47" s="110">
        <f>8323713+2030871+4421261+2447754+1356456+2264730</f>
        <v>20844785</v>
      </c>
      <c r="AI47" s="110">
        <f>1343252+14417068</f>
        <v>15760320</v>
      </c>
      <c r="AJ47" s="110">
        <f>1870129+307730+2638844+3875159+1044425</f>
        <v>9736287</v>
      </c>
      <c r="AK47" s="110">
        <f>433290+2668728+4541893+154886</f>
        <v>7798797</v>
      </c>
      <c r="AL47" s="110">
        <f>9020+361240+4391271+177398</f>
        <v>4938929</v>
      </c>
      <c r="AM47" s="110">
        <f>89740+239238+495626</f>
        <v>824604</v>
      </c>
      <c r="AN47" s="116"/>
      <c r="AO47" s="116"/>
      <c r="AP47" s="125">
        <f t="shared" si="7"/>
        <v>132577132</v>
      </c>
    </row>
    <row r="48" spans="1:42" s="12" customFormat="1" ht="12.75">
      <c r="A48" s="16" t="s">
        <v>113</v>
      </c>
      <c r="B48" s="48" t="s">
        <v>109</v>
      </c>
      <c r="C48" s="110">
        <f>115000000-30000000</f>
        <v>85000000</v>
      </c>
      <c r="D48" s="116">
        <v>0</v>
      </c>
      <c r="E48" s="116"/>
      <c r="F48" s="116">
        <v>3241696</v>
      </c>
      <c r="G48" s="116">
        <v>0</v>
      </c>
      <c r="H48" s="110">
        <v>0</v>
      </c>
      <c r="I48" s="110">
        <v>0</v>
      </c>
      <c r="J48" s="110">
        <v>6742790</v>
      </c>
      <c r="K48" s="110">
        <v>0</v>
      </c>
      <c r="L48" s="110">
        <f>9349455</f>
        <v>9349455</v>
      </c>
      <c r="M48" s="110">
        <f>58893161.72</f>
        <v>58893161.72</v>
      </c>
      <c r="N48" s="110"/>
      <c r="O48" s="110"/>
      <c r="P48" s="118">
        <f t="shared" si="2"/>
        <v>78227102.72</v>
      </c>
      <c r="Q48" s="116">
        <v>0</v>
      </c>
      <c r="R48" s="117"/>
      <c r="S48" s="116">
        <v>0</v>
      </c>
      <c r="T48" s="116">
        <v>3241696</v>
      </c>
      <c r="U48" s="110">
        <v>0</v>
      </c>
      <c r="V48" s="110">
        <v>0</v>
      </c>
      <c r="W48" s="110">
        <v>0</v>
      </c>
      <c r="X48" s="110">
        <v>0</v>
      </c>
      <c r="Y48" s="110">
        <f>6742790</f>
        <v>6742790</v>
      </c>
      <c r="Z48" s="110"/>
      <c r="AA48" s="110"/>
      <c r="AB48" s="110"/>
      <c r="AC48" s="118">
        <f t="shared" si="6"/>
        <v>9984486</v>
      </c>
      <c r="AD48" s="110">
        <v>0</v>
      </c>
      <c r="AE48" s="118"/>
      <c r="AF48" s="110">
        <v>0</v>
      </c>
      <c r="AG48" s="116">
        <v>3241696</v>
      </c>
      <c r="AH48" s="110">
        <v>0</v>
      </c>
      <c r="AI48" s="110">
        <v>0</v>
      </c>
      <c r="AJ48" s="110">
        <v>0</v>
      </c>
      <c r="AK48" s="116">
        <v>0</v>
      </c>
      <c r="AL48" s="110">
        <v>0</v>
      </c>
      <c r="AM48" s="116">
        <f>6742790</f>
        <v>6742790</v>
      </c>
      <c r="AN48" s="116"/>
      <c r="AO48" s="116"/>
      <c r="AP48" s="125">
        <f t="shared" si="7"/>
        <v>9984486</v>
      </c>
    </row>
    <row r="49" spans="1:42" s="12" customFormat="1" ht="12.75">
      <c r="A49" s="16" t="s">
        <v>110</v>
      </c>
      <c r="B49" s="48" t="s">
        <v>105</v>
      </c>
      <c r="C49" s="110">
        <f>500000-100000</f>
        <v>400000</v>
      </c>
      <c r="D49" s="116">
        <v>0</v>
      </c>
      <c r="E49" s="116">
        <f>400000</f>
        <v>400000</v>
      </c>
      <c r="F49" s="116">
        <v>0</v>
      </c>
      <c r="G49" s="116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/>
      <c r="N49" s="110"/>
      <c r="O49" s="110"/>
      <c r="P49" s="118">
        <f t="shared" si="2"/>
        <v>400000</v>
      </c>
      <c r="Q49" s="116">
        <v>0</v>
      </c>
      <c r="R49" s="116">
        <f>400000</f>
        <v>400000</v>
      </c>
      <c r="S49" s="116">
        <v>0</v>
      </c>
      <c r="T49" s="116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/>
      <c r="AA49" s="110"/>
      <c r="AB49" s="110"/>
      <c r="AC49" s="118">
        <f t="shared" si="6"/>
        <v>400000</v>
      </c>
      <c r="AD49" s="110">
        <v>0</v>
      </c>
      <c r="AE49" s="110">
        <f>400000</f>
        <v>400000</v>
      </c>
      <c r="AF49" s="110">
        <v>0</v>
      </c>
      <c r="AG49" s="116">
        <v>0</v>
      </c>
      <c r="AH49" s="110">
        <v>0</v>
      </c>
      <c r="AI49" s="110">
        <v>0</v>
      </c>
      <c r="AJ49" s="110">
        <v>0</v>
      </c>
      <c r="AK49" s="116">
        <v>0</v>
      </c>
      <c r="AL49" s="110">
        <v>0</v>
      </c>
      <c r="AM49" s="116"/>
      <c r="AN49" s="116"/>
      <c r="AO49" s="116"/>
      <c r="AP49" s="125">
        <f t="shared" si="7"/>
        <v>400000</v>
      </c>
    </row>
    <row r="50" spans="1:42" s="12" customFormat="1" ht="12.75">
      <c r="A50" s="16" t="s">
        <v>169</v>
      </c>
      <c r="B50" s="48" t="s">
        <v>168</v>
      </c>
      <c r="C50" s="110">
        <v>18000000</v>
      </c>
      <c r="D50" s="116">
        <v>0</v>
      </c>
      <c r="E50" s="116"/>
      <c r="F50" s="116">
        <v>0</v>
      </c>
      <c r="G50" s="116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f>13447970</f>
        <v>13447970</v>
      </c>
      <c r="M50" s="110">
        <f>3322869</f>
        <v>3322869</v>
      </c>
      <c r="N50" s="110"/>
      <c r="O50" s="110"/>
      <c r="P50" s="118">
        <f>SUM(D50:O50)</f>
        <v>16770839</v>
      </c>
      <c r="Q50" s="116">
        <v>0</v>
      </c>
      <c r="R50" s="116"/>
      <c r="S50" s="116">
        <v>0</v>
      </c>
      <c r="T50" s="116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f>2661302</f>
        <v>2661302</v>
      </c>
      <c r="Z50" s="110">
        <f>4109537</f>
        <v>4109537</v>
      </c>
      <c r="AA50" s="110"/>
      <c r="AB50" s="110"/>
      <c r="AC50" s="118">
        <f>SUM(Q50:AB50)</f>
        <v>6770839</v>
      </c>
      <c r="AD50" s="110">
        <v>0</v>
      </c>
      <c r="AE50" s="110"/>
      <c r="AF50" s="110">
        <v>0</v>
      </c>
      <c r="AG50" s="116">
        <v>0</v>
      </c>
      <c r="AH50" s="110">
        <v>0</v>
      </c>
      <c r="AI50" s="110">
        <v>0</v>
      </c>
      <c r="AJ50" s="110">
        <v>0</v>
      </c>
      <c r="AK50" s="116">
        <v>0</v>
      </c>
      <c r="AL50" s="110">
        <f>2661302</f>
        <v>2661302</v>
      </c>
      <c r="AM50" s="116">
        <f>2718264</f>
        <v>2718264</v>
      </c>
      <c r="AN50" s="116"/>
      <c r="AO50" s="116"/>
      <c r="AP50" s="125">
        <f>SUM(AD50:AO50)</f>
        <v>5379566</v>
      </c>
    </row>
    <row r="51" spans="1:42" s="12" customFormat="1" ht="12.75">
      <c r="A51" s="16" t="s">
        <v>149</v>
      </c>
      <c r="B51" s="48" t="s">
        <v>150</v>
      </c>
      <c r="C51" s="110">
        <f>15000000+12000000</f>
        <v>27000000</v>
      </c>
      <c r="D51" s="116">
        <v>0</v>
      </c>
      <c r="E51" s="116"/>
      <c r="F51" s="116">
        <v>0</v>
      </c>
      <c r="G51" s="116">
        <v>0</v>
      </c>
      <c r="H51" s="110">
        <v>0</v>
      </c>
      <c r="I51" s="110">
        <v>0</v>
      </c>
      <c r="J51" s="110">
        <v>0</v>
      </c>
      <c r="K51" s="110">
        <v>25671149</v>
      </c>
      <c r="L51" s="110">
        <v>0</v>
      </c>
      <c r="M51" s="110"/>
      <c r="N51" s="110"/>
      <c r="O51" s="110"/>
      <c r="P51" s="118">
        <f t="shared" si="2"/>
        <v>25671149</v>
      </c>
      <c r="Q51" s="116">
        <v>0</v>
      </c>
      <c r="R51" s="117"/>
      <c r="S51" s="116">
        <v>0</v>
      </c>
      <c r="T51" s="116">
        <v>0</v>
      </c>
      <c r="U51" s="110">
        <v>0</v>
      </c>
      <c r="V51" s="110">
        <v>0</v>
      </c>
      <c r="W51" s="110">
        <v>0</v>
      </c>
      <c r="X51" s="110">
        <v>25671149</v>
      </c>
      <c r="Y51" s="110">
        <v>0</v>
      </c>
      <c r="Z51" s="110"/>
      <c r="AA51" s="110"/>
      <c r="AB51" s="110"/>
      <c r="AC51" s="118">
        <f t="shared" si="6"/>
        <v>25671149</v>
      </c>
      <c r="AD51" s="110">
        <v>0</v>
      </c>
      <c r="AE51" s="118"/>
      <c r="AF51" s="110">
        <v>0</v>
      </c>
      <c r="AG51" s="116">
        <v>0</v>
      </c>
      <c r="AH51" s="110">
        <v>0</v>
      </c>
      <c r="AI51" s="110">
        <v>0</v>
      </c>
      <c r="AJ51" s="110">
        <v>0</v>
      </c>
      <c r="AK51" s="116">
        <v>0</v>
      </c>
      <c r="AL51" s="110">
        <v>25671149</v>
      </c>
      <c r="AM51" s="116"/>
      <c r="AN51" s="116"/>
      <c r="AO51" s="116"/>
      <c r="AP51" s="125">
        <f t="shared" si="7"/>
        <v>25671149</v>
      </c>
    </row>
    <row r="52" spans="1:42" s="12" customFormat="1" ht="13.5" thickBot="1">
      <c r="A52" s="16" t="s">
        <v>131</v>
      </c>
      <c r="B52" s="48" t="s">
        <v>130</v>
      </c>
      <c r="C52" s="49">
        <v>5000000</v>
      </c>
      <c r="D52" s="111">
        <v>0</v>
      </c>
      <c r="E52" s="111"/>
      <c r="F52" s="111">
        <v>0</v>
      </c>
      <c r="G52" s="111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f>4989160</f>
        <v>4989160</v>
      </c>
      <c r="N52" s="49"/>
      <c r="O52" s="49"/>
      <c r="P52" s="45">
        <f t="shared" si="2"/>
        <v>4989160</v>
      </c>
      <c r="Q52" s="111">
        <v>0</v>
      </c>
      <c r="R52" s="121"/>
      <c r="S52" s="111">
        <v>0</v>
      </c>
      <c r="T52" s="111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/>
      <c r="AA52" s="49"/>
      <c r="AB52" s="49"/>
      <c r="AC52" s="45">
        <f t="shared" si="6"/>
        <v>0</v>
      </c>
      <c r="AD52" s="49">
        <v>0</v>
      </c>
      <c r="AE52" s="50"/>
      <c r="AF52" s="49">
        <v>0</v>
      </c>
      <c r="AG52" s="111">
        <v>0</v>
      </c>
      <c r="AH52" s="49">
        <v>0</v>
      </c>
      <c r="AI52" s="111">
        <v>0</v>
      </c>
      <c r="AJ52" s="49">
        <v>0</v>
      </c>
      <c r="AK52" s="111">
        <v>0</v>
      </c>
      <c r="AL52" s="111">
        <v>0</v>
      </c>
      <c r="AM52" s="111"/>
      <c r="AN52" s="111"/>
      <c r="AO52" s="111"/>
      <c r="AP52" s="123">
        <f t="shared" si="7"/>
        <v>0</v>
      </c>
    </row>
    <row r="53" spans="1:42" s="14" customFormat="1" ht="13.5" thickBot="1">
      <c r="A53" s="21"/>
      <c r="B53" s="46" t="s">
        <v>44</v>
      </c>
      <c r="C53" s="47">
        <f aca="true" t="shared" si="8" ref="C53:O53">SUM(C54:C55)</f>
        <v>441625000</v>
      </c>
      <c r="D53" s="47">
        <f t="shared" si="8"/>
        <v>0</v>
      </c>
      <c r="E53" s="47">
        <f t="shared" si="8"/>
        <v>0</v>
      </c>
      <c r="F53" s="47">
        <f t="shared" si="8"/>
        <v>0</v>
      </c>
      <c r="G53" s="47">
        <f t="shared" si="8"/>
        <v>0</v>
      </c>
      <c r="H53" s="47">
        <f t="shared" si="8"/>
        <v>3380579</v>
      </c>
      <c r="I53" s="47">
        <f t="shared" si="8"/>
        <v>0</v>
      </c>
      <c r="J53" s="47">
        <f t="shared" si="8"/>
        <v>137294438</v>
      </c>
      <c r="K53" s="47">
        <f t="shared" si="8"/>
        <v>0</v>
      </c>
      <c r="L53" s="47">
        <f t="shared" si="8"/>
        <v>0</v>
      </c>
      <c r="M53" s="47">
        <f t="shared" si="8"/>
        <v>4590000</v>
      </c>
      <c r="N53" s="47">
        <f t="shared" si="8"/>
        <v>0</v>
      </c>
      <c r="O53" s="47">
        <f t="shared" si="8"/>
        <v>0</v>
      </c>
      <c r="P53" s="47">
        <f>SUM(P54:P55)</f>
        <v>145265017</v>
      </c>
      <c r="Q53" s="47">
        <f aca="true" t="shared" si="9" ref="Q53:AK53">SUM(Q54:Q55)</f>
        <v>0</v>
      </c>
      <c r="R53" s="47">
        <f t="shared" si="9"/>
        <v>0</v>
      </c>
      <c r="S53" s="47">
        <f t="shared" si="9"/>
        <v>0</v>
      </c>
      <c r="T53" s="47">
        <f t="shared" si="9"/>
        <v>0</v>
      </c>
      <c r="U53" s="47">
        <f t="shared" si="9"/>
        <v>3380579</v>
      </c>
      <c r="V53" s="47">
        <f t="shared" si="9"/>
        <v>0</v>
      </c>
      <c r="W53" s="47">
        <f t="shared" si="9"/>
        <v>137294438</v>
      </c>
      <c r="X53" s="47">
        <f t="shared" si="9"/>
        <v>0</v>
      </c>
      <c r="Y53" s="47">
        <f t="shared" si="9"/>
        <v>0</v>
      </c>
      <c r="Z53" s="47">
        <f t="shared" si="9"/>
        <v>4590000</v>
      </c>
      <c r="AA53" s="47">
        <f t="shared" si="9"/>
        <v>0</v>
      </c>
      <c r="AB53" s="47">
        <f t="shared" si="9"/>
        <v>0</v>
      </c>
      <c r="AC53" s="47">
        <f t="shared" si="9"/>
        <v>145265017</v>
      </c>
      <c r="AD53" s="47">
        <f t="shared" si="9"/>
        <v>0</v>
      </c>
      <c r="AE53" s="47">
        <f t="shared" si="9"/>
        <v>0</v>
      </c>
      <c r="AF53" s="47">
        <f t="shared" si="9"/>
        <v>0</v>
      </c>
      <c r="AG53" s="47">
        <f t="shared" si="9"/>
        <v>0</v>
      </c>
      <c r="AH53" s="47">
        <f t="shared" si="9"/>
        <v>3380579</v>
      </c>
      <c r="AI53" s="47">
        <f t="shared" si="9"/>
        <v>0</v>
      </c>
      <c r="AJ53" s="47">
        <f t="shared" si="9"/>
        <v>137294438</v>
      </c>
      <c r="AK53" s="47">
        <f t="shared" si="9"/>
        <v>0</v>
      </c>
      <c r="AL53" s="47">
        <v>0</v>
      </c>
      <c r="AM53" s="47">
        <f>SUM(AM54:AM55)</f>
        <v>4590000</v>
      </c>
      <c r="AN53" s="47">
        <f>SUM(AN54:AN55)</f>
        <v>0</v>
      </c>
      <c r="AO53" s="47">
        <f>SUM(AO54:AO55)</f>
        <v>0</v>
      </c>
      <c r="AP53" s="37">
        <f>SUM(AP54:AP55)</f>
        <v>145265017</v>
      </c>
    </row>
    <row r="54" spans="1:42" s="12" customFormat="1" ht="13.5" thickBot="1">
      <c r="A54" s="68" t="s">
        <v>153</v>
      </c>
      <c r="B54" s="52" t="s">
        <v>46</v>
      </c>
      <c r="C54" s="53">
        <v>211150000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41">
        <v>137294438</v>
      </c>
      <c r="K54" s="53">
        <v>0</v>
      </c>
      <c r="L54" s="53">
        <v>0</v>
      </c>
      <c r="M54" s="53">
        <v>0</v>
      </c>
      <c r="N54" s="41"/>
      <c r="O54" s="41"/>
      <c r="P54" s="72">
        <f t="shared" si="2"/>
        <v>137294438</v>
      </c>
      <c r="Q54" s="100">
        <v>0</v>
      </c>
      <c r="R54" s="112">
        <v>0</v>
      </c>
      <c r="S54" s="112">
        <v>0</v>
      </c>
      <c r="T54" s="113">
        <v>0</v>
      </c>
      <c r="U54" s="53">
        <v>0</v>
      </c>
      <c r="V54" s="41">
        <v>0</v>
      </c>
      <c r="W54" s="41">
        <v>137294438</v>
      </c>
      <c r="X54" s="53">
        <v>0</v>
      </c>
      <c r="Y54" s="41">
        <v>0</v>
      </c>
      <c r="Z54" s="41">
        <v>0</v>
      </c>
      <c r="AA54" s="41"/>
      <c r="AB54" s="41"/>
      <c r="AC54" s="72">
        <f>SUM(Q54:AB54)</f>
        <v>137294438</v>
      </c>
      <c r="AD54" s="41">
        <v>0</v>
      </c>
      <c r="AE54" s="42">
        <v>0</v>
      </c>
      <c r="AF54" s="41">
        <v>0</v>
      </c>
      <c r="AG54" s="100">
        <v>0</v>
      </c>
      <c r="AH54" s="53">
        <v>0</v>
      </c>
      <c r="AI54" s="41">
        <v>0</v>
      </c>
      <c r="AJ54" s="41">
        <v>137294438</v>
      </c>
      <c r="AK54" s="53">
        <v>0</v>
      </c>
      <c r="AL54" s="113">
        <v>0</v>
      </c>
      <c r="AM54" s="112">
        <v>0</v>
      </c>
      <c r="AN54" s="112"/>
      <c r="AO54" s="100"/>
      <c r="AP54" s="73">
        <f>SUM(AD54:AO54)</f>
        <v>137294438</v>
      </c>
    </row>
    <row r="55" spans="1:42" s="12" customFormat="1" ht="13.5" thickBot="1">
      <c r="A55" s="15" t="s">
        <v>50</v>
      </c>
      <c r="B55" s="40" t="s">
        <v>114</v>
      </c>
      <c r="C55" s="41">
        <v>230475000</v>
      </c>
      <c r="D55" s="53">
        <v>0</v>
      </c>
      <c r="E55" s="53">
        <v>0</v>
      </c>
      <c r="F55" s="53">
        <v>0</v>
      </c>
      <c r="G55" s="53">
        <v>0</v>
      </c>
      <c r="H55" s="53">
        <v>3380579</v>
      </c>
      <c r="I55" s="53">
        <v>0</v>
      </c>
      <c r="J55" s="41">
        <v>0</v>
      </c>
      <c r="K55" s="53">
        <v>0</v>
      </c>
      <c r="L55" s="53">
        <v>0</v>
      </c>
      <c r="M55" s="53">
        <v>4590000</v>
      </c>
      <c r="N55" s="41"/>
      <c r="O55" s="41"/>
      <c r="P55" s="72">
        <f t="shared" si="2"/>
        <v>7970579</v>
      </c>
      <c r="Q55" s="53">
        <v>0</v>
      </c>
      <c r="R55" s="42">
        <v>0</v>
      </c>
      <c r="S55" s="42">
        <v>0</v>
      </c>
      <c r="T55" s="53">
        <v>0</v>
      </c>
      <c r="U55" s="53">
        <v>3380579</v>
      </c>
      <c r="V55" s="41">
        <v>0</v>
      </c>
      <c r="W55" s="41">
        <v>0</v>
      </c>
      <c r="X55" s="53">
        <v>0</v>
      </c>
      <c r="Y55" s="41">
        <v>0</v>
      </c>
      <c r="Z55" s="53">
        <v>4590000</v>
      </c>
      <c r="AA55" s="41"/>
      <c r="AB55" s="41"/>
      <c r="AC55" s="72">
        <f>SUM(Q55:AB55)</f>
        <v>7970579</v>
      </c>
      <c r="AD55" s="53">
        <v>0</v>
      </c>
      <c r="AE55" s="42">
        <v>0</v>
      </c>
      <c r="AF55" s="41">
        <v>0</v>
      </c>
      <c r="AG55" s="41">
        <v>0</v>
      </c>
      <c r="AH55" s="53">
        <v>3380579</v>
      </c>
      <c r="AI55" s="41">
        <v>0</v>
      </c>
      <c r="AJ55" s="41">
        <v>0</v>
      </c>
      <c r="AK55" s="53">
        <v>0</v>
      </c>
      <c r="AL55" s="53">
        <v>0</v>
      </c>
      <c r="AM55" s="53">
        <v>4590000</v>
      </c>
      <c r="AN55" s="42"/>
      <c r="AO55" s="41"/>
      <c r="AP55" s="73">
        <f>SUM(AD55:AO55)</f>
        <v>7970579</v>
      </c>
    </row>
    <row r="56" spans="1:42" s="14" customFormat="1" ht="18" customHeight="1" thickBot="1">
      <c r="A56" s="21"/>
      <c r="B56" s="46" t="s">
        <v>41</v>
      </c>
      <c r="C56" s="47">
        <f aca="true" t="shared" si="10" ref="C56:AP56">SUM(C57:C70)</f>
        <v>70851566095</v>
      </c>
      <c r="D56" s="47">
        <f t="shared" si="10"/>
        <v>7530717169.5</v>
      </c>
      <c r="E56" s="85">
        <f t="shared" si="10"/>
        <v>11267547990.529999</v>
      </c>
      <c r="F56" s="85">
        <f t="shared" si="10"/>
        <v>5625385689</v>
      </c>
      <c r="G56" s="85">
        <f t="shared" si="10"/>
        <v>6561091136</v>
      </c>
      <c r="H56" s="85">
        <f t="shared" si="10"/>
        <v>6583396521</v>
      </c>
      <c r="I56" s="47">
        <f t="shared" si="10"/>
        <v>3800566840.52</v>
      </c>
      <c r="J56" s="47">
        <f t="shared" si="10"/>
        <v>3090202730</v>
      </c>
      <c r="K56" s="47">
        <f t="shared" si="10"/>
        <v>4850614808.72</v>
      </c>
      <c r="L56" s="47">
        <f t="shared" si="10"/>
        <v>7059467491.91</v>
      </c>
      <c r="M56" s="47">
        <f t="shared" si="10"/>
        <v>3409179317</v>
      </c>
      <c r="N56" s="47">
        <f t="shared" si="10"/>
        <v>0</v>
      </c>
      <c r="O56" s="47">
        <f t="shared" si="10"/>
        <v>0</v>
      </c>
      <c r="P56" s="47">
        <f t="shared" si="10"/>
        <v>59778169694.18</v>
      </c>
      <c r="Q56" s="47">
        <f t="shared" si="10"/>
        <v>77608865</v>
      </c>
      <c r="R56" s="47">
        <f t="shared" si="10"/>
        <v>1339654950</v>
      </c>
      <c r="S56" s="47">
        <f t="shared" si="10"/>
        <v>3116669632.5299997</v>
      </c>
      <c r="T56" s="47">
        <f t="shared" si="10"/>
        <v>3406995629.0000005</v>
      </c>
      <c r="U56" s="47">
        <f t="shared" si="10"/>
        <v>4358050504</v>
      </c>
      <c r="V56" s="47">
        <f t="shared" si="10"/>
        <v>4329837547</v>
      </c>
      <c r="W56" s="47">
        <f t="shared" si="10"/>
        <v>5297916599</v>
      </c>
      <c r="X56" s="47">
        <f t="shared" si="10"/>
        <v>5692653288.000001</v>
      </c>
      <c r="Y56" s="47">
        <f t="shared" si="10"/>
        <v>6380826202.000001</v>
      </c>
      <c r="Z56" s="47">
        <f t="shared" si="10"/>
        <v>7336999623.000001</v>
      </c>
      <c r="AA56" s="47">
        <f t="shared" si="10"/>
        <v>0</v>
      </c>
      <c r="AB56" s="47">
        <f t="shared" si="10"/>
        <v>0</v>
      </c>
      <c r="AC56" s="47">
        <f t="shared" si="10"/>
        <v>41337212839.53</v>
      </c>
      <c r="AD56" s="47">
        <f t="shared" si="10"/>
        <v>64511150</v>
      </c>
      <c r="AE56" s="47">
        <f t="shared" si="10"/>
        <v>1158213596</v>
      </c>
      <c r="AF56" s="47">
        <f t="shared" si="10"/>
        <v>3200895592.9999995</v>
      </c>
      <c r="AG56" s="47">
        <f t="shared" si="10"/>
        <v>3309315259.5300007</v>
      </c>
      <c r="AH56" s="47">
        <f t="shared" si="10"/>
        <v>4277980944.0000005</v>
      </c>
      <c r="AI56" s="47">
        <f t="shared" si="10"/>
        <v>4579101402</v>
      </c>
      <c r="AJ56" s="47">
        <f t="shared" si="10"/>
        <v>5214106369</v>
      </c>
      <c r="AK56" s="47">
        <f t="shared" si="10"/>
        <v>5510437933.000001</v>
      </c>
      <c r="AL56" s="47">
        <f t="shared" si="10"/>
        <v>6300661333.000001</v>
      </c>
      <c r="AM56" s="47">
        <f t="shared" si="10"/>
        <v>7491462023.000001</v>
      </c>
      <c r="AN56" s="47">
        <f t="shared" si="10"/>
        <v>0</v>
      </c>
      <c r="AO56" s="47">
        <f t="shared" si="10"/>
        <v>0</v>
      </c>
      <c r="AP56" s="37">
        <f t="shared" si="10"/>
        <v>41106685602.53</v>
      </c>
    </row>
    <row r="57" spans="1:42" s="10" customFormat="1" ht="12.75">
      <c r="A57" s="83" t="s">
        <v>116</v>
      </c>
      <c r="B57" s="13" t="s">
        <v>115</v>
      </c>
      <c r="C57" s="44">
        <v>8491704602</v>
      </c>
      <c r="D57" s="103">
        <v>392312945</v>
      </c>
      <c r="E57" s="103">
        <f>1787652169+116303531+25901450+55836535+90710871+88701184+74183504</f>
        <v>2239289244</v>
      </c>
      <c r="F57" s="103">
        <f>1408981273+23224094.87-323768+336740</f>
        <v>1432218339.87</v>
      </c>
      <c r="G57" s="103">
        <f>403900929+1512935+1601459+1466305+1867567+1291375+4760029</f>
        <v>416400599</v>
      </c>
      <c r="H57" s="44">
        <f>64976595+1741616+4479733+7171160+18076693+471831</f>
        <v>96917628</v>
      </c>
      <c r="I57" s="44">
        <f>196411823+2795727+5034723+568231+12902469+434707</f>
        <v>218147680</v>
      </c>
      <c r="J57" s="44">
        <f>507234944+4101636+4193191-360+859313</f>
        <v>516388724</v>
      </c>
      <c r="K57" s="44">
        <f>321529965+1725000+328005+11281021+10632713</f>
        <v>345496704</v>
      </c>
      <c r="L57" s="44">
        <f>634013669.41+7538804+6453981-587877+1239843</f>
        <v>648658420.41</v>
      </c>
      <c r="M57" s="44">
        <f>183586010+6264632+1803111+1431485+1411014</f>
        <v>194496252</v>
      </c>
      <c r="N57" s="44"/>
      <c r="O57" s="122"/>
      <c r="P57" s="72">
        <f aca="true" t="shared" si="11" ref="P57:P70">SUM(D57:O57)</f>
        <v>6500326536.28</v>
      </c>
      <c r="Q57" s="44">
        <v>0</v>
      </c>
      <c r="R57" s="44">
        <f>164554060+2000000+202444</f>
        <v>166756504</v>
      </c>
      <c r="S57" s="44">
        <f>203435255+13904502+23526130+1618840+7104493+7552870+8591626</f>
        <v>265733716</v>
      </c>
      <c r="T57" s="103">
        <f>392507127+5461459+2428261+9894566+8976880+4272910+9058592</f>
        <v>432599795</v>
      </c>
      <c r="U57" s="44">
        <f>333721194+13863154+4029720+9444870+13856349+10169191+5157241</f>
        <v>390241719</v>
      </c>
      <c r="V57" s="44">
        <f>378226014+13273305+8124590+10013100+11490281+11859725+2428261</f>
        <v>435415276</v>
      </c>
      <c r="W57" s="44">
        <f>401247144+15775211+3508271+13039751+8428261+10432563+3722281</f>
        <v>456153482</v>
      </c>
      <c r="X57" s="44">
        <f>623388065+11679396+2428261+10784483+8428261+14835460+2428261</f>
        <v>673972187</v>
      </c>
      <c r="Y57" s="44">
        <f>552043668+17374008+3765293+8428261+8428261+8770515+7326040</f>
        <v>606136046</v>
      </c>
      <c r="Z57" s="44">
        <f>634672047+10905839+3397771+8428261+8428261+16617529+6068418</f>
        <v>688518126</v>
      </c>
      <c r="AA57" s="44"/>
      <c r="AB57" s="122"/>
      <c r="AC57" s="72">
        <f>SUM(Q57:AB57)</f>
        <v>4115526851</v>
      </c>
      <c r="AD57" s="44">
        <v>0</v>
      </c>
      <c r="AE57" s="44">
        <f>25705140+2000000+202444</f>
        <v>27907584</v>
      </c>
      <c r="AF57" s="44">
        <f>322967120+13904502+23526130+1618840+7104493+7552870+8591626</f>
        <v>385265581</v>
      </c>
      <c r="AG57" s="103">
        <f>305257171+5461459+2428261+9894566+8976880+4272910+9058592</f>
        <v>345349839</v>
      </c>
      <c r="AH57" s="44">
        <f>423026046+13863154+4029720+9444870+13856349+10169191+5157241</f>
        <v>479546571</v>
      </c>
      <c r="AI57" s="44">
        <f>394238173+13273305+8124590+10013100+11490281+11859725+2428261</f>
        <v>451427435</v>
      </c>
      <c r="AJ57" s="44">
        <f>382908161+15775211+3508271+13039751+8428261+10432563+3722281</f>
        <v>437814499</v>
      </c>
      <c r="AK57" s="44">
        <f>623305475+11679396+2428261+10784483+8428261+14835460+2428261</f>
        <v>673889597</v>
      </c>
      <c r="AL57" s="44">
        <f>431637825+13051546+3765293+8428261+8428261+8770515+7326040</f>
        <v>481407741</v>
      </c>
      <c r="AM57" s="44">
        <f>674743995+15228301+3397771+8428261+8428261+16617529+6068418</f>
        <v>732912536</v>
      </c>
      <c r="AN57" s="44"/>
      <c r="AO57" s="122"/>
      <c r="AP57" s="73">
        <f>SUM(AD57:AO57)</f>
        <v>4015521383</v>
      </c>
    </row>
    <row r="58" spans="1:42" s="10" customFormat="1" ht="12.75">
      <c r="A58" s="83" t="s">
        <v>117</v>
      </c>
      <c r="B58" s="13" t="s">
        <v>126</v>
      </c>
      <c r="C58" s="110">
        <f>8833069307-554531578</f>
        <v>8278537729</v>
      </c>
      <c r="D58" s="116">
        <v>192348007</v>
      </c>
      <c r="E58" s="116">
        <f>405688642</f>
        <v>405688642</v>
      </c>
      <c r="F58" s="116">
        <f>225145526+148555416+73372021.59+122744238+787145</f>
        <v>570604346.59</v>
      </c>
      <c r="G58" s="116">
        <f>153039304+125490199+10948066</f>
        <v>289477569</v>
      </c>
      <c r="H58" s="110">
        <f>51597143+168881591+1627817</f>
        <v>222106551</v>
      </c>
      <c r="I58" s="110">
        <f>22393904+0+11967720</f>
        <v>34361624</v>
      </c>
      <c r="J58" s="110">
        <f>139493381+152275584+31094294+83585869+88362801+44014640+95985820</f>
        <v>634812389</v>
      </c>
      <c r="K58" s="110">
        <f>49480823+709792154+3982920+309175697+109789452+695176465+687710605.72</f>
        <v>2565108116.7200003</v>
      </c>
      <c r="L58" s="110">
        <f>110776444+63156441+138907710+737589558+109330094+259663763+150088299</f>
        <v>1569512309</v>
      </c>
      <c r="M58" s="110">
        <f>27898516+19500198+2739016+34198952+7811344+177476375+211516043</f>
        <v>481140444</v>
      </c>
      <c r="N58" s="110"/>
      <c r="O58" s="124"/>
      <c r="P58" s="118">
        <f t="shared" si="11"/>
        <v>6965159998.31</v>
      </c>
      <c r="Q58" s="110">
        <v>0</v>
      </c>
      <c r="R58" s="110">
        <f>2134021</f>
        <v>2134021</v>
      </c>
      <c r="S58" s="110">
        <f>49893526+6919465.2</f>
        <v>56812991.2</v>
      </c>
      <c r="T58" s="116">
        <f>76523499+20529068.4+1576747+787145+10048737</f>
        <v>109465196.4</v>
      </c>
      <c r="U58" s="110">
        <f>112376934+16596242.4+20457373+23201486</f>
        <v>172632035.4</v>
      </c>
      <c r="V58" s="110">
        <f>100294990+14925963.6+20457373+24359053+587382+2476826</f>
        <v>163101587.6</v>
      </c>
      <c r="W58" s="110">
        <f>105895497+31070346.4+2424383+31452460+39906092+15583395+11967281</f>
        <v>238299454.4</v>
      </c>
      <c r="X58" s="110">
        <f>155219592+109365709.6+11367111+30533915+49925772+45148021+274441097</f>
        <v>676001217.6</v>
      </c>
      <c r="Y58" s="110">
        <f>123375829+316548698.6+78924436+381761422+128959131+348985268+85496585</f>
        <v>1464051369.6</v>
      </c>
      <c r="Z58" s="110">
        <f>171079710+293969162.6+61904950+372378279+99322894+320927392+282226933</f>
        <v>1601809320.6</v>
      </c>
      <c r="AA58" s="110"/>
      <c r="AB58" s="124"/>
      <c r="AC58" s="118">
        <f aca="true" t="shared" si="12" ref="AC58:AC70">SUM(Q58:AB58)</f>
        <v>4484307193.799999</v>
      </c>
      <c r="AD58" s="110">
        <v>0</v>
      </c>
      <c r="AE58" s="110">
        <f>2134021</f>
        <v>2134021</v>
      </c>
      <c r="AF58" s="110">
        <f>43691836+6919465.2</f>
        <v>50611301.2</v>
      </c>
      <c r="AG58" s="116">
        <f>81409771+20529068.4+1576747+787145+10048737</f>
        <v>114351468.4</v>
      </c>
      <c r="AH58" s="110">
        <f>94305199+16596242.4+20457373+23201486</f>
        <v>154560300.4</v>
      </c>
      <c r="AI58" s="110">
        <f>118399777+14925963.6+20457373+24359053+587382+2476826</f>
        <v>181206374.6</v>
      </c>
      <c r="AJ58" s="110">
        <f>96531467+31070346.4+2424383+31452460+39906092+15583395+11967281</f>
        <v>228935424.4</v>
      </c>
      <c r="AK58" s="110">
        <f>149858630+48315709.6+11367111+30533915+49925772+45148021+274441097</f>
        <v>609590255.6</v>
      </c>
      <c r="AL58" s="110">
        <f>123973164+336027638.6+78924436+381761422+128959131+348985268+85496585</f>
        <v>1484127644.6</v>
      </c>
      <c r="AM58" s="110">
        <f>163126743+335540222.6+61904950+370919748+99322894+320927392+282226933</f>
        <v>1633968882.6</v>
      </c>
      <c r="AN58" s="110"/>
      <c r="AO58" s="124"/>
      <c r="AP58" s="125">
        <f aca="true" t="shared" si="13" ref="AP58:AP70">SUM(AD58:AO58)</f>
        <v>4459485672.799999</v>
      </c>
    </row>
    <row r="59" spans="1:42" s="10" customFormat="1" ht="12.75">
      <c r="A59" s="83" t="s">
        <v>118</v>
      </c>
      <c r="B59" s="13" t="s">
        <v>127</v>
      </c>
      <c r="C59" s="127">
        <v>10917973179</v>
      </c>
      <c r="D59" s="116">
        <f>1049625903+48314988+198006500+31577000+62856980+32605000+57608000</f>
        <v>1480594371</v>
      </c>
      <c r="E59" s="116">
        <f>733578550+67822796+39790320+195303309+98586687+82470404+181677383</f>
        <v>1399229449</v>
      </c>
      <c r="F59" s="116">
        <f>156549440+13627515+129765797.15+29741953+15659952+1340451+13687100</f>
        <v>360372208.15</v>
      </c>
      <c r="G59" s="116">
        <f>188979151+121957772+81913051+149155136+106362903+118172724+374514748</f>
        <v>1141055485</v>
      </c>
      <c r="H59" s="110">
        <f>89453695+76573723+42338300+106866349+57928704+168224866+511193532</f>
        <v>1052579169</v>
      </c>
      <c r="I59" s="110">
        <f>64917732+264299696+185085293+343409732+231533335+317116790+610756956.52</f>
        <v>2017119534.52</v>
      </c>
      <c r="J59" s="110">
        <f>262131481+4840627+10702609+35704386+3779347+32815876+177034951</f>
        <v>527009277</v>
      </c>
      <c r="K59" s="110">
        <f>435612417+6813702+2680050+28291991+11007369+12554884+13513065</f>
        <v>510473478</v>
      </c>
      <c r="L59" s="110">
        <f>34028159.53+84430880+62507799+84144861+76786735+97418129+190191693</f>
        <v>629508256.53</v>
      </c>
      <c r="M59" s="110">
        <f>204227019+47783607+28458042+54410141+30174252+98311700+192705035</f>
        <v>656069796</v>
      </c>
      <c r="N59" s="110"/>
      <c r="O59" s="124"/>
      <c r="P59" s="118">
        <f>SUM(D59:O59)</f>
        <v>9774011024.2</v>
      </c>
      <c r="Q59" s="110">
        <v>7317700</v>
      </c>
      <c r="R59" s="110">
        <f>70818387+21856915+12539400+84231716+42715082+23480034+24175972</f>
        <v>279817506</v>
      </c>
      <c r="S59" s="110">
        <f>211435972+37881335+128618868+20407960+55571689+38667306+94923112</f>
        <v>587506242</v>
      </c>
      <c r="T59" s="116">
        <f>218023218+22681337+21889906+55592215+19047875+65031739+123648286</f>
        <v>525914576</v>
      </c>
      <c r="U59" s="110">
        <f>258212759+41837105+23868499+39780218+25948913+85302357+194306336</f>
        <v>669256187</v>
      </c>
      <c r="V59" s="110">
        <f>267525622+59627836+35563423+43729071+51625317+60742487+165837762</f>
        <v>684651518</v>
      </c>
      <c r="W59" s="110">
        <f>221996610+109840341+84436811+140867423+94648257+144490248+364000082</f>
        <v>1160279772</v>
      </c>
      <c r="X59" s="110">
        <f>297011351+110924648+80084520+152459709+100636768+158184661+360944142</f>
        <v>1260245799</v>
      </c>
      <c r="Y59" s="110">
        <f>264854083+124138597+77418156+162952337+78730040+122147711+351322760</f>
        <v>1181563684</v>
      </c>
      <c r="Z59" s="110">
        <f>278589272+74097651+62437392+105759084+69202828+145062073+278421907</f>
        <v>1013570207</v>
      </c>
      <c r="AA59" s="110"/>
      <c r="AB59" s="124"/>
      <c r="AC59" s="118">
        <f t="shared" si="12"/>
        <v>7370123191</v>
      </c>
      <c r="AD59" s="110">
        <v>7317700</v>
      </c>
      <c r="AE59" s="110">
        <f>29078975+21856915+12539400+84231716+42715082+23480034+24175972</f>
        <v>238078094</v>
      </c>
      <c r="AF59" s="110">
        <f>239064383+37881335+128618868+20407960+55571689+38667306+93891412</f>
        <v>614102953</v>
      </c>
      <c r="AG59" s="116">
        <f>186156399+22681337+21889906+55472215+19047875+66063439+123648286</f>
        <v>494959457</v>
      </c>
      <c r="AH59" s="110">
        <f>294089024+41837105+23868499+39900218+25812663+85302357+194306336</f>
        <v>705116202</v>
      </c>
      <c r="AI59" s="110">
        <f>262312843+59627836+35563423+43729071+51761567+60742487+165837762</f>
        <v>679574989</v>
      </c>
      <c r="AJ59" s="110">
        <f>220694278+108063621+84436811+140867423+94648257+144490248+364000082</f>
        <v>1157200720</v>
      </c>
      <c r="AK59" s="110">
        <f>276318505+112626588+80084520+151888229+100636768+158184661+360944142</f>
        <v>1240683413</v>
      </c>
      <c r="AL59" s="110">
        <f>277647843+121039105+77418156+163523817+78730040+122147711+351322760</f>
        <v>1191829432</v>
      </c>
      <c r="AM59" s="110">
        <f>299913170+77271923+62437392+105759084+69202828+145062073+278421907</f>
        <v>1038068377</v>
      </c>
      <c r="AN59" s="110"/>
      <c r="AO59" s="124"/>
      <c r="AP59" s="125">
        <f t="shared" si="13"/>
        <v>7366931337</v>
      </c>
    </row>
    <row r="60" spans="1:42" s="10" customFormat="1" ht="12.75">
      <c r="A60" s="83" t="s">
        <v>119</v>
      </c>
      <c r="B60" s="13" t="s">
        <v>133</v>
      </c>
      <c r="C60" s="110">
        <v>2800000000</v>
      </c>
      <c r="D60" s="116">
        <f>331684540+37727699+89744000+40189000+57936300+51432000+33732000</f>
        <v>642445539</v>
      </c>
      <c r="E60" s="116">
        <f>164055773+4147000+1243000+1065000+243500</f>
        <v>170754273</v>
      </c>
      <c r="F60" s="116">
        <f>-70156+6602880+12237919+10263880+10436820+10131120+13831440</f>
        <v>63433903</v>
      </c>
      <c r="G60" s="116">
        <f>15525980+41059727+35828515+59062500+59030028+29763603+109693685</f>
        <v>349964038</v>
      </c>
      <c r="H60" s="110">
        <f>1583400+3453000+3253354+398895+914095+1724000</f>
        <v>11326744</v>
      </c>
      <c r="I60" s="110">
        <f>1865893+11774558+21401880+23630956+37870356+26135670+29354320</f>
        <v>152033633</v>
      </c>
      <c r="J60" s="110">
        <f>27763121+74111407+61947757+79219744+38330375+37840830+113860314</f>
        <v>433073548</v>
      </c>
      <c r="K60" s="110">
        <f>145527501+1014440+10019323+555855+17816640+12435193</f>
        <v>187368952</v>
      </c>
      <c r="L60" s="110">
        <f>42360692+43092402+7007880+24591744+30790647+14464357+42951320</f>
        <v>205259042</v>
      </c>
      <c r="M60" s="110">
        <f>7380568+5037624+23544795+44051716+19662509+16125017+53481556</f>
        <v>169283785</v>
      </c>
      <c r="N60" s="110"/>
      <c r="O60" s="124"/>
      <c r="P60" s="118">
        <f t="shared" si="11"/>
        <v>2384943457</v>
      </c>
      <c r="Q60" s="110">
        <v>0</v>
      </c>
      <c r="R60" s="110">
        <f>1245429+31873699+35327000+48613000+29333000+43776500+24021000</f>
        <v>214189628</v>
      </c>
      <c r="S60" s="110">
        <f>62918512+5266000+38421000+4392000+29082800+7756800+8539000</f>
        <v>156376112</v>
      </c>
      <c r="T60" s="116">
        <f>56678637+1863000+12225720+15480718+16496240+13352720+7293786</f>
        <v>123390821</v>
      </c>
      <c r="U60" s="110">
        <f>65285790+34046914+24008835+35828001+28612446+16360439+86194270</f>
        <v>290336695</v>
      </c>
      <c r="V60" s="110">
        <f>57851522+5452656+5904740+10365651+10722420+3497832+3704948</f>
        <v>97499769</v>
      </c>
      <c r="W60" s="110">
        <f>62143664+12624775+4360240+9730990+25323851+8846108+11593698</f>
        <v>134623326</v>
      </c>
      <c r="X60" s="110">
        <f>79716011+46799586+42164192+59860250+37095384+35363089+94330571</f>
        <v>395329083</v>
      </c>
      <c r="Y60" s="110">
        <f>65020891+12530036+6740168+17298518+8837563+8118461+27091218</f>
        <v>145636855</v>
      </c>
      <c r="Z60" s="110">
        <f>76929160+17743309+18710188+28956315+12514123+16225148+20496717</f>
        <v>191574960</v>
      </c>
      <c r="AA60" s="110"/>
      <c r="AB60" s="124"/>
      <c r="AC60" s="118">
        <f t="shared" si="12"/>
        <v>1748957249</v>
      </c>
      <c r="AD60" s="110">
        <v>0</v>
      </c>
      <c r="AE60" s="110">
        <f>1245429+31873699+35327000+48613000+29333000+43776500+24021000</f>
        <v>214189628</v>
      </c>
      <c r="AF60" s="110">
        <f>57503489+5266000+38421000+4392000+29082800+7756800+8539000</f>
        <v>150961089</v>
      </c>
      <c r="AG60" s="116">
        <f>59349725+1863000+12225720+15480718+16496240+13352720+7293786</f>
        <v>126061909</v>
      </c>
      <c r="AH60" s="110">
        <f>62007638+34046914+24008835+35828001+28612446+16360439+86194270</f>
        <v>287058543</v>
      </c>
      <c r="AI60" s="110">
        <f>60689804+5452656+5904740+10365651+10722420+3497832+3704948</f>
        <v>100338051</v>
      </c>
      <c r="AJ60" s="110">
        <f>64931146+12624775+4360240+9730990+25323851+8846108+11593698</f>
        <v>137410808</v>
      </c>
      <c r="AK60" s="110">
        <f>65706785+46799586+42164192+59860250+37095384+35363089+94330571</f>
        <v>381319857</v>
      </c>
      <c r="AL60" s="110">
        <f>77164004+12196536+6740168+17298518+8837563+8118461+27091218</f>
        <v>157446468</v>
      </c>
      <c r="AM60" s="110">
        <f>70411252+18076809+18710188+28956315+12514123+16225148+20496717</f>
        <v>185390552</v>
      </c>
      <c r="AN60" s="110"/>
      <c r="AO60" s="124"/>
      <c r="AP60" s="125">
        <f t="shared" si="13"/>
        <v>1740176905</v>
      </c>
    </row>
    <row r="61" spans="1:42" s="10" customFormat="1" ht="12.75">
      <c r="A61" s="83" t="s">
        <v>120</v>
      </c>
      <c r="B61" s="13" t="s">
        <v>134</v>
      </c>
      <c r="C61" s="110">
        <v>5800863635</v>
      </c>
      <c r="D61" s="116">
        <f>483626202+232802224+262806000+106401847+133210337+221853159+158247000</f>
        <v>1598946769</v>
      </c>
      <c r="E61" s="116">
        <f>126000749+35501138+15795786+22649058+47584758+47117148+32281507</f>
        <v>326930144</v>
      </c>
      <c r="F61" s="116">
        <f>30559272+13724556+11900900+5179289</f>
        <v>61364017</v>
      </c>
      <c r="G61" s="116">
        <f>34047201+707170959+282882429+404567119+412616556+471923626+696883587</f>
        <v>3010091477</v>
      </c>
      <c r="H61" s="110">
        <f>1500000+19461963+24043054+21467400</f>
        <v>66472417</v>
      </c>
      <c r="I61" s="110">
        <f>56152938+7023342+3398714+3363850+1944000+12743854</f>
        <v>84626698</v>
      </c>
      <c r="J61" s="110">
        <f>272969512+569957+3397456+4817098+4216883</f>
        <v>285970906</v>
      </c>
      <c r="K61" s="110">
        <f>4597198+933600+5582848+7688902+832610</f>
        <v>19635158</v>
      </c>
      <c r="L61" s="110">
        <f>16751075+252358+355590+5293946+548020</f>
        <v>23200989</v>
      </c>
      <c r="M61" s="110">
        <f>31970573-107467954-41709546-56967099-61867834-6250977-99154601</f>
        <v>-341447438</v>
      </c>
      <c r="N61" s="110"/>
      <c r="O61" s="124"/>
      <c r="P61" s="118">
        <f t="shared" si="11"/>
        <v>5135791137</v>
      </c>
      <c r="Q61" s="110">
        <f>3928024+2451847</f>
        <v>6379871</v>
      </c>
      <c r="R61" s="110">
        <f>35194418+70660747+33847429+76894090+42561116+76506925+50440000</f>
        <v>386104725</v>
      </c>
      <c r="S61" s="110">
        <f>86023542+105043755+102811900+36725857+63179326+73291947+64729500</f>
        <v>531805827</v>
      </c>
      <c r="T61" s="116">
        <f>84232048+76591394+31485250+52926748+75887768+57126693+83481479</f>
        <v>461731380</v>
      </c>
      <c r="U61" s="110">
        <f>132004023+87130881+21457504+34497920+43086555+45370508+58750094</f>
        <v>422297485</v>
      </c>
      <c r="V61" s="110">
        <f>39555618+126584276+39597345+49990989+56402412+63863732+83075345</f>
        <v>459069717</v>
      </c>
      <c r="W61" s="110">
        <f>101825476+91896613+33120631+55690161+60993452+58112359+84879054</f>
        <v>486517746</v>
      </c>
      <c r="X61" s="110">
        <f>141763352+78129190+34354231+47824689+54633432+58442762+82794641</f>
        <v>497942297</v>
      </c>
      <c r="Y61" s="110">
        <f>38823436+86818881+35942831+49936575+47189174+59221917+95454757</f>
        <v>413387571</v>
      </c>
      <c r="Z61" s="110">
        <f>93422228+81314891+33468907+48841240+46631084+72790941+88754187</f>
        <v>465223478</v>
      </c>
      <c r="AA61" s="110"/>
      <c r="AB61" s="124"/>
      <c r="AC61" s="118">
        <f t="shared" si="12"/>
        <v>4130460097</v>
      </c>
      <c r="AD61" s="110">
        <f>3928024+2451847</f>
        <v>6379871</v>
      </c>
      <c r="AE61" s="110">
        <f>30884259+70660747+33847429+76894090+41241116+76506925+50440000</f>
        <v>380474566</v>
      </c>
      <c r="AF61" s="110">
        <f>90333701+104677235+102811900+36725857+64499326+73291947+64729500</f>
        <v>537069466</v>
      </c>
      <c r="AG61" s="116">
        <f>82032048+76957914+31485250+52435398+75887768+57126693+83481479</f>
        <v>459406550</v>
      </c>
      <c r="AH61" s="110">
        <f>83203907+87130881+21457504+34989270+43086555+45370508+58750094</f>
        <v>373988719</v>
      </c>
      <c r="AI61" s="110">
        <f>89062497+126584276+39597345+49990989+56402412+63863732+83075345</f>
        <v>508576596</v>
      </c>
      <c r="AJ61" s="110">
        <f>96015441+91896613+33120631+55690161+60993452+58112359+84879054</f>
        <v>480707711</v>
      </c>
      <c r="AK61" s="110">
        <f>88776717+76454470+34354231+47824689+54633432+58442762+82794641</f>
        <v>443280942</v>
      </c>
      <c r="AL61" s="110">
        <f>97160474+88493601+35942831+49936575+47189174+59221917+95454757</f>
        <v>473399329</v>
      </c>
      <c r="AM61" s="110">
        <f>92007813+81314891+33468907+48841240+46631084+72790941+88754187</f>
        <v>463809063</v>
      </c>
      <c r="AN61" s="110"/>
      <c r="AO61" s="124"/>
      <c r="AP61" s="125">
        <f t="shared" si="13"/>
        <v>4127092813</v>
      </c>
    </row>
    <row r="62" spans="1:42" s="10" customFormat="1" ht="12.75">
      <c r="A62" s="83" t="s">
        <v>121</v>
      </c>
      <c r="B62" s="13" t="s">
        <v>135</v>
      </c>
      <c r="C62" s="110">
        <v>11500000000</v>
      </c>
      <c r="D62" s="116">
        <f>294246175+151728000+15402000+169724000</f>
        <v>631100175</v>
      </c>
      <c r="E62" s="116">
        <f>420956933+449789551+155197401+490492435+208307916+336308941+177608136</f>
        <v>2238661313</v>
      </c>
      <c r="F62" s="116">
        <f>52004344+65611484+162007830.61+17289510+43717680+11544500+40036500</f>
        <v>392211848.61</v>
      </c>
      <c r="G62" s="116">
        <f>77797453+58431500+12135750+6280000+128135852+20157000+61954413</f>
        <v>364891968</v>
      </c>
      <c r="H62" s="110">
        <f>-6252088+908847457+316961417+671280586+428461561+586088555+783695478</f>
        <v>3689082966</v>
      </c>
      <c r="I62" s="110">
        <f>118611385+29071956+24630373+154178093+95704976+347485389</f>
        <v>769682172</v>
      </c>
      <c r="J62" s="110">
        <f>36721929+116820842+77789802+22637888+71550738+50974218+82435906</f>
        <v>458931323</v>
      </c>
      <c r="K62" s="110">
        <f>181714786+114127994+22660212+51166597+19214429+1478945+39180984</f>
        <v>429543947</v>
      </c>
      <c r="L62" s="110">
        <f>70911994+31678966+40407826+35128505+45868019+52793102+48949835</f>
        <v>325738247</v>
      </c>
      <c r="M62" s="110">
        <f>23549206+143920544+30595938+23455660+15923069+16024226+58582864</f>
        <v>312051507</v>
      </c>
      <c r="N62" s="110"/>
      <c r="O62" s="124"/>
      <c r="P62" s="118">
        <f t="shared" si="11"/>
        <v>9611895466.61</v>
      </c>
      <c r="Q62" s="110">
        <f>14418470+6060000+9500000</f>
        <v>29978470</v>
      </c>
      <c r="R62" s="110">
        <f>12171120+17830000+9316950+37542250+19415000+23167500</f>
        <v>119442820</v>
      </c>
      <c r="S62" s="110">
        <f>71528507+178245586+206735593+65431459+103962135+124112870+104734200</f>
        <v>854750350</v>
      </c>
      <c r="T62" s="116">
        <f>88418950+202256356+60944231+95508800+106102685+104669700+179864893</f>
        <v>837765615</v>
      </c>
      <c r="U62" s="110">
        <f>112697048+206234233+51162300+128035017+111884886+114568000+241117585</f>
        <v>965699069</v>
      </c>
      <c r="V62" s="110">
        <f>100671053+276687977+70398950+114577791+124563834+139399299+213484622</f>
        <v>1039783526</v>
      </c>
      <c r="W62" s="110">
        <f>84395647+239618670+85401254+132211590+133877805+115085347+208939273</f>
        <v>999529586</v>
      </c>
      <c r="X62" s="110">
        <f>128864030+190780469+80155908+119263699+119692030+128388177+176332951</f>
        <v>943477264</v>
      </c>
      <c r="Y62" s="110">
        <f>76912921+241515001+83746561+153304269+130864113+92105855+232541857</f>
        <v>1010990577</v>
      </c>
      <c r="Z62" s="110">
        <f>107237381+187893708+86787285+129873967+130939540+149067940+181977522</f>
        <v>973777343</v>
      </c>
      <c r="AA62" s="110"/>
      <c r="AB62" s="124"/>
      <c r="AC62" s="118">
        <f t="shared" si="12"/>
        <v>7775194620</v>
      </c>
      <c r="AD62" s="110">
        <f>14418470+6060000+9500000</f>
        <v>29978470</v>
      </c>
      <c r="AE62" s="110">
        <f>6468092+17830000+9316950+37542250+19415000+23167500</f>
        <v>113739792</v>
      </c>
      <c r="AF62" s="110">
        <f>75895991+178244672+206735593+65431459+103962135+124112870+104734200</f>
        <v>859116920</v>
      </c>
      <c r="AG62" s="116">
        <f>86545098+202257270+60944231+95508800+106102685+104669700+179864893</f>
        <v>835892677</v>
      </c>
      <c r="AH62" s="110">
        <f>105335062+206234233+51162300+128035017+111884886+114568000+241117585</f>
        <v>958337083</v>
      </c>
      <c r="AI62" s="110">
        <f>108663185+276687977+70398950+114577791+124563834+139399299+213484622</f>
        <v>1047775658</v>
      </c>
      <c r="AJ62" s="110">
        <f>84659763+239214244+85401254+132211590+133877805+115085347+208939273</f>
        <v>999389276</v>
      </c>
      <c r="AK62" s="110">
        <f>119942427+191184895+80155908+118733109+119692030+128388177+176332951</f>
        <v>934429497</v>
      </c>
      <c r="AL62" s="110">
        <f>76545274+240807255+83746561+153834859+130864113+92105855+232541857</f>
        <v>1010445774</v>
      </c>
      <c r="AM62" s="110">
        <f>106301741+188601454+86787285+129873967+130939540+149067940+181977522</f>
        <v>973549449</v>
      </c>
      <c r="AN62" s="110"/>
      <c r="AO62" s="124"/>
      <c r="AP62" s="125">
        <f t="shared" si="13"/>
        <v>7762654596</v>
      </c>
    </row>
    <row r="63" spans="1:42" s="10" customFormat="1" ht="12.75">
      <c r="A63" s="83" t="s">
        <v>122</v>
      </c>
      <c r="B63" s="13" t="s">
        <v>136</v>
      </c>
      <c r="C63" s="110">
        <v>729353202</v>
      </c>
      <c r="D63" s="116">
        <v>147644297</v>
      </c>
      <c r="E63" s="116">
        <f>57361822</f>
        <v>57361822</v>
      </c>
      <c r="F63" s="116">
        <f>198133492</f>
        <v>198133492</v>
      </c>
      <c r="G63" s="116">
        <v>9468465</v>
      </c>
      <c r="H63" s="110">
        <v>35385835</v>
      </c>
      <c r="I63" s="110">
        <v>1786492</v>
      </c>
      <c r="J63" s="110">
        <v>12733237</v>
      </c>
      <c r="K63" s="110">
        <f>26178935+10214600+8537750+21777660+2877250+27386160+11534760</f>
        <v>108507115</v>
      </c>
      <c r="L63" s="110">
        <f>6234996+284000+200000+4216920+1687800+47478500</f>
        <v>60102216</v>
      </c>
      <c r="M63" s="110">
        <f>5250382+180000+893228+4068210+875000+1682550</f>
        <v>12949370</v>
      </c>
      <c r="N63" s="110"/>
      <c r="O63" s="124"/>
      <c r="P63" s="118">
        <f t="shared" si="11"/>
        <v>644072341</v>
      </c>
      <c r="Q63" s="110">
        <v>0</v>
      </c>
      <c r="R63" s="110">
        <f>4020501</f>
        <v>4020501</v>
      </c>
      <c r="S63" s="110">
        <f>22738148</f>
        <v>22738148</v>
      </c>
      <c r="T63" s="116">
        <v>22407562</v>
      </c>
      <c r="U63" s="110">
        <v>58049226</v>
      </c>
      <c r="V63" s="110">
        <f>30786358</f>
        <v>30786358</v>
      </c>
      <c r="W63" s="110">
        <v>48442167</v>
      </c>
      <c r="X63" s="110">
        <f>61524022+323000+2722500</f>
        <v>64569522</v>
      </c>
      <c r="Y63" s="110">
        <f>40175581+3365100+3365100+8380920+1319200+2205170</f>
        <v>58811071</v>
      </c>
      <c r="Z63" s="110">
        <f>49768879+3954600+4038400+7459220+4631110+10562640+20719620</f>
        <v>101134469</v>
      </c>
      <c r="AA63" s="110"/>
      <c r="AB63" s="124"/>
      <c r="AC63" s="118">
        <f t="shared" si="12"/>
        <v>410959024</v>
      </c>
      <c r="AD63" s="110">
        <v>0</v>
      </c>
      <c r="AE63" s="110">
        <f>4020501</f>
        <v>4020501</v>
      </c>
      <c r="AF63" s="110">
        <f>20298883</f>
        <v>20298883</v>
      </c>
      <c r="AG63" s="116">
        <v>24846827</v>
      </c>
      <c r="AH63" s="110">
        <v>58049226</v>
      </c>
      <c r="AI63" s="110">
        <f>30786358</f>
        <v>30786358</v>
      </c>
      <c r="AJ63" s="110">
        <v>46999732</v>
      </c>
      <c r="AK63" s="110">
        <f>58011045+323000+2722500</f>
        <v>61056545</v>
      </c>
      <c r="AL63" s="110">
        <f>45130993+3365100+3365100+8380920+1319200+2205170</f>
        <v>63766483</v>
      </c>
      <c r="AM63" s="110">
        <f>40471591+3954600+4038400+7459220+4631110+10562640+20719620</f>
        <v>91837181</v>
      </c>
      <c r="AN63" s="110"/>
      <c r="AO63" s="124"/>
      <c r="AP63" s="125">
        <f t="shared" si="13"/>
        <v>401661736</v>
      </c>
    </row>
    <row r="64" spans="1:42" s="10" customFormat="1" ht="12.75">
      <c r="A64" s="83" t="s">
        <v>123</v>
      </c>
      <c r="B64" s="13" t="s">
        <v>137</v>
      </c>
      <c r="C64" s="110">
        <v>2945323589</v>
      </c>
      <c r="D64" s="116">
        <v>85642543</v>
      </c>
      <c r="E64" s="116">
        <f>1492940029.53</f>
        <v>1492940029.53</v>
      </c>
      <c r="F64" s="116">
        <f>474778559</f>
        <v>474778559</v>
      </c>
      <c r="G64" s="116">
        <v>92145154</v>
      </c>
      <c r="H64" s="110">
        <v>13132932</v>
      </c>
      <c r="I64" s="110">
        <v>20214920</v>
      </c>
      <c r="J64" s="110">
        <v>13246385</v>
      </c>
      <c r="K64" s="110">
        <f>91026280</f>
        <v>91026280</v>
      </c>
      <c r="L64" s="110">
        <f>123100387</f>
        <v>123100387</v>
      </c>
      <c r="M64" s="110">
        <f>109372202+5090668</f>
        <v>114462870</v>
      </c>
      <c r="N64" s="110"/>
      <c r="O64" s="124"/>
      <c r="P64" s="118">
        <f t="shared" si="11"/>
        <v>2520690059.5299997</v>
      </c>
      <c r="Q64" s="110">
        <v>0</v>
      </c>
      <c r="R64" s="110">
        <v>0</v>
      </c>
      <c r="S64" s="110">
        <f>106200772.53</f>
        <v>106200772.53</v>
      </c>
      <c r="T64" s="116">
        <v>147995342</v>
      </c>
      <c r="U64" s="110">
        <v>216743437</v>
      </c>
      <c r="V64" s="110">
        <f>193926620</f>
        <v>193926620</v>
      </c>
      <c r="W64" s="110">
        <v>231223596</v>
      </c>
      <c r="X64" s="110">
        <f>230027251</f>
        <v>230027251</v>
      </c>
      <c r="Y64" s="110">
        <f>214537977</f>
        <v>214537977</v>
      </c>
      <c r="Z64" s="110">
        <f>235132461</f>
        <v>235132461</v>
      </c>
      <c r="AA64" s="110"/>
      <c r="AB64" s="124"/>
      <c r="AC64" s="118">
        <f t="shared" si="12"/>
        <v>1575787456.53</v>
      </c>
      <c r="AD64" s="110">
        <v>0</v>
      </c>
      <c r="AE64" s="110"/>
      <c r="AF64" s="110">
        <f>89554554</f>
        <v>89554554</v>
      </c>
      <c r="AG64" s="116">
        <v>152746040.53</v>
      </c>
      <c r="AH64" s="110">
        <v>214347777</v>
      </c>
      <c r="AI64" s="110">
        <v>201502421</v>
      </c>
      <c r="AJ64" s="110">
        <v>225850136</v>
      </c>
      <c r="AK64" s="110">
        <f>226864016</f>
        <v>226864016</v>
      </c>
      <c r="AL64" s="110">
        <f>199293725</f>
        <v>199293725</v>
      </c>
      <c r="AM64" s="110">
        <v>245969290</v>
      </c>
      <c r="AN64" s="110"/>
      <c r="AO64" s="124"/>
      <c r="AP64" s="125">
        <f t="shared" si="13"/>
        <v>1556127959.53</v>
      </c>
    </row>
    <row r="65" spans="1:42" s="10" customFormat="1" ht="12.75">
      <c r="A65" s="83" t="s">
        <v>124</v>
      </c>
      <c r="B65" s="13" t="s">
        <v>138</v>
      </c>
      <c r="C65" s="110">
        <v>2000000000</v>
      </c>
      <c r="D65" s="116">
        <v>31069050</v>
      </c>
      <c r="E65" s="116">
        <f>85952474+12821380+3606720+3789794+6083147+14392930+2799526</f>
        <v>129445971</v>
      </c>
      <c r="F65" s="116">
        <f>115861017+30315455+109544149.01+20457373+29430</f>
        <v>276207424.01</v>
      </c>
      <c r="G65" s="116">
        <f>1000000+1830000+12737784</f>
        <v>15567784</v>
      </c>
      <c r="H65" s="110">
        <f>-584974+2205000+13140000+2265526</f>
        <v>17025552</v>
      </c>
      <c r="I65" s="110">
        <f>4507678+754840</f>
        <v>5262518</v>
      </c>
      <c r="J65" s="110">
        <v>1609720</v>
      </c>
      <c r="K65" s="110">
        <f>34567109+28942935+1572733+1916146+2825526+12138736+25492270</f>
        <v>107455455</v>
      </c>
      <c r="L65" s="110">
        <f>17728415.75+1305713+8648709+17688479+9351929+2532823+67988636</f>
        <v>125244704.75</v>
      </c>
      <c r="M65" s="110">
        <f>-17539+57720713+20289118+14587299+23743815+77879801+79210161</f>
        <v>273413368</v>
      </c>
      <c r="N65" s="110"/>
      <c r="O65" s="124"/>
      <c r="P65" s="118">
        <f t="shared" si="11"/>
        <v>982301546.76</v>
      </c>
      <c r="Q65" s="110">
        <v>1165565</v>
      </c>
      <c r="R65" s="110">
        <f>7382042+975002+300560+883560+1689530</f>
        <v>11230694</v>
      </c>
      <c r="S65" s="110">
        <f>19293962+3470360.2+248890+3404610+300560+29430</f>
        <v>26747812.2</v>
      </c>
      <c r="T65" s="116">
        <f>34337421+4393055.4+300560+1830000+6437030</f>
        <v>47298066.4</v>
      </c>
      <c r="U65" s="110">
        <f>24207629+5616790.4+300560+7174140</f>
        <v>37299119.4</v>
      </c>
      <c r="V65" s="110">
        <f>23007630+4674709.6+300560+540000+5663014</f>
        <v>34185913.6</v>
      </c>
      <c r="W65" s="110">
        <f>22135997+9245887.4+300560+1800000+1500000+5873654</f>
        <v>40856098.4</v>
      </c>
      <c r="X65" s="110">
        <f>25863703+9022632.6+1561543+3716146+7600581+4997316</f>
        <v>52761921.6</v>
      </c>
      <c r="Y65" s="110">
        <f>23095426+8481982.6+2841961+4964085+781128+44050276</f>
        <v>84214858.6</v>
      </c>
      <c r="Z65" s="110">
        <f>18151692+28784388.6+7378387+25224544+13485697+17034445+54051946</f>
        <v>164111099.6</v>
      </c>
      <c r="AA65" s="110"/>
      <c r="AB65" s="124"/>
      <c r="AC65" s="118">
        <f t="shared" si="12"/>
        <v>499871148.79999995</v>
      </c>
      <c r="AD65" s="110">
        <v>0</v>
      </c>
      <c r="AE65" s="110">
        <f>8547607+975002+300560+883560+1689530</f>
        <v>12396259</v>
      </c>
      <c r="AF65" s="110">
        <f>19293962+3470360.2+248890+300560+3404610+29430</f>
        <v>26747812.2</v>
      </c>
      <c r="AG65" s="116">
        <f>34074338+4393055.4+300560+1830000+6437030</f>
        <v>47034983.4</v>
      </c>
      <c r="AH65" s="110">
        <f>24470712+5616790.4+300560+7174140</f>
        <v>37562202.4</v>
      </c>
      <c r="AI65" s="110">
        <f>23007630+4674709.6+300560+540000+5663014</f>
        <v>34185913.6</v>
      </c>
      <c r="AJ65" s="110">
        <f>22135997+9245887.4+300560+1800000+1500000+5873654</f>
        <v>40856098.4</v>
      </c>
      <c r="AK65" s="110">
        <f>25793547+9022632.6+1561543+3676146+7600581+4997316</f>
        <v>52651765.6</v>
      </c>
      <c r="AL65" s="110">
        <f>20895842+8481982.6+2841961+5004085+781128+44050276</f>
        <v>82055274.6</v>
      </c>
      <c r="AM65" s="110">
        <f>17915256+27506821.6+7378387+25224544+13485697+17034445+54051946</f>
        <v>162597096.6</v>
      </c>
      <c r="AN65" s="110"/>
      <c r="AO65" s="124"/>
      <c r="AP65" s="125">
        <f t="shared" si="13"/>
        <v>496087405.79999995</v>
      </c>
    </row>
    <row r="66" spans="1:42" s="10" customFormat="1" ht="12.75">
      <c r="A66" s="83" t="s">
        <v>125</v>
      </c>
      <c r="B66" s="13" t="s">
        <v>139</v>
      </c>
      <c r="C66" s="110">
        <v>2600000000</v>
      </c>
      <c r="D66" s="116">
        <v>1541072318</v>
      </c>
      <c r="E66" s="116">
        <f>366880122</f>
        <v>366880122</v>
      </c>
      <c r="F66" s="116">
        <f>292147058</f>
        <v>292147058</v>
      </c>
      <c r="G66" s="116">
        <v>55000853</v>
      </c>
      <c r="H66" s="110">
        <v>110237712</v>
      </c>
      <c r="I66" s="110">
        <f>3396437</f>
        <v>3396437</v>
      </c>
      <c r="J66" s="110">
        <v>40987019</v>
      </c>
      <c r="K66" s="110">
        <f>69898397</f>
        <v>69898397</v>
      </c>
      <c r="L66" s="110">
        <f>16828256</f>
        <v>16828256</v>
      </c>
      <c r="M66" s="110">
        <f>16599027</f>
        <v>16599027</v>
      </c>
      <c r="N66" s="110"/>
      <c r="O66" s="124"/>
      <c r="P66" s="118">
        <f t="shared" si="11"/>
        <v>2513047199</v>
      </c>
      <c r="Q66" s="110">
        <v>0</v>
      </c>
      <c r="R66" s="110">
        <f>42845870</f>
        <v>42845870</v>
      </c>
      <c r="S66" s="110">
        <f>157658418</f>
        <v>157658418</v>
      </c>
      <c r="T66" s="116">
        <v>216559093</v>
      </c>
      <c r="U66" s="110">
        <v>247555488</v>
      </c>
      <c r="V66" s="110">
        <f>187537582</f>
        <v>187537582</v>
      </c>
      <c r="W66" s="110">
        <v>241859549</v>
      </c>
      <c r="X66" s="110">
        <f>227400937</f>
        <v>227400937</v>
      </c>
      <c r="Y66" s="110">
        <f>236456188</f>
        <v>236456188</v>
      </c>
      <c r="Z66" s="110">
        <f>237539320</f>
        <v>237539320</v>
      </c>
      <c r="AA66" s="110"/>
      <c r="AB66" s="124"/>
      <c r="AC66" s="118">
        <f t="shared" si="12"/>
        <v>1795412445</v>
      </c>
      <c r="AD66" s="110">
        <v>0</v>
      </c>
      <c r="AE66" s="110">
        <f>41061654</f>
        <v>41061654</v>
      </c>
      <c r="AF66" s="110">
        <f>150801683</f>
        <v>150801683</v>
      </c>
      <c r="AG66" s="116">
        <v>216433054</v>
      </c>
      <c r="AH66" s="110">
        <v>217161837</v>
      </c>
      <c r="AI66" s="110">
        <f>223427421</f>
        <v>223427421</v>
      </c>
      <c r="AJ66" s="110">
        <v>228169517</v>
      </c>
      <c r="AK66" s="110">
        <f>229402652</f>
        <v>229402652</v>
      </c>
      <c r="AL66" s="110">
        <f>224331394</f>
        <v>224331394</v>
      </c>
      <c r="AM66" s="110">
        <f>254850686</f>
        <v>254850686</v>
      </c>
      <c r="AN66" s="110"/>
      <c r="AO66" s="124"/>
      <c r="AP66" s="125">
        <f t="shared" si="13"/>
        <v>1785639898</v>
      </c>
    </row>
    <row r="67" spans="1:42" s="10" customFormat="1" ht="12.75">
      <c r="A67" s="83" t="s">
        <v>132</v>
      </c>
      <c r="B67" s="13" t="s">
        <v>140</v>
      </c>
      <c r="C67" s="110">
        <v>2633278581</v>
      </c>
      <c r="D67" s="116">
        <v>1135100</v>
      </c>
      <c r="E67" s="116">
        <f>1061431016+8547587+21545341+2762480+24784487+33527463+22547523</f>
        <v>1175145897</v>
      </c>
      <c r="F67" s="116">
        <f>510053326+3704146+100557920.45+29741946+9546772-132166+933452</f>
        <v>654405396.45</v>
      </c>
      <c r="G67" s="116">
        <f>48086170+1298930+19845+14624907</f>
        <v>64029852</v>
      </c>
      <c r="H67" s="110">
        <f>58105344+40183+3030709</f>
        <v>61176236</v>
      </c>
      <c r="I67" s="110">
        <f>33917505+795528+275527+574200+718280</f>
        <v>36281040</v>
      </c>
      <c r="J67" s="110">
        <f>106234467-94560</f>
        <v>106139907</v>
      </c>
      <c r="K67" s="110">
        <f>50292608</f>
        <v>50292608</v>
      </c>
      <c r="L67" s="110">
        <f>76067939+126178+598529-128806</f>
        <v>76663840</v>
      </c>
      <c r="M67" s="110">
        <f>282623907+841800</f>
        <v>283465707</v>
      </c>
      <c r="N67" s="110"/>
      <c r="O67" s="124"/>
      <c r="P67" s="118">
        <f t="shared" si="11"/>
        <v>2508735583.45</v>
      </c>
      <c r="Q67" s="110">
        <v>1135100</v>
      </c>
      <c r="R67" s="110">
        <f>630272+75140+824990+439213+1130997</f>
        <v>3100612</v>
      </c>
      <c r="S67" s="110">
        <f>136979713+1544744+688820+3409586+6385238+2472745+4305410</f>
        <v>155786256</v>
      </c>
      <c r="T67" s="116">
        <f>132286342+647696+5176773+11258329+2509595+2492590+344820</f>
        <v>154716145</v>
      </c>
      <c r="U67" s="110">
        <f>214934713+1614958+5772668+2472745+5075893+2512928+2214758</f>
        <v>234598663</v>
      </c>
      <c r="V67" s="110">
        <f>144246497+1131327+5348226+2472745+2748272+2472745+9162090</f>
        <v>167581902</v>
      </c>
      <c r="W67" s="110">
        <f>188935245+1131327+4983473+3173713+3734825+2472745+20781005</f>
        <v>225212333</v>
      </c>
      <c r="X67" s="110">
        <f>189153085+1131327+5560447+2472745+2472745+2472745+22709078</f>
        <v>225972172</v>
      </c>
      <c r="Y67" s="110">
        <f>227479732+1131327+6158976+2472745+2472745+2472745+5762923</f>
        <v>247951193</v>
      </c>
      <c r="Z67" s="110">
        <f>171738373+798637+6137421+3123566+10001367+4064095+3548348</f>
        <v>199411807</v>
      </c>
      <c r="AA67" s="110"/>
      <c r="AB67" s="124"/>
      <c r="AC67" s="118">
        <f t="shared" si="12"/>
        <v>1615466183</v>
      </c>
      <c r="AD67" s="110">
        <v>1135100</v>
      </c>
      <c r="AE67" s="110">
        <f>630272+75140+824990+439213+1130997</f>
        <v>3100612</v>
      </c>
      <c r="AF67" s="110">
        <f>107758440+1544744+688820+3409586+6385238+2472745+3943300</f>
        <v>126202873</v>
      </c>
      <c r="AG67" s="116">
        <f>155331519+647696+5176773+11258329+2509595+2854700+344820</f>
        <v>178123432</v>
      </c>
      <c r="AH67" s="110">
        <f>187003704+1614958+5772668+2472745+5075893+2512928+2214758</f>
        <v>206667654</v>
      </c>
      <c r="AI67" s="110">
        <f>178353602+1131327+5348226+2472745+2748272+2472745+9162090</f>
        <v>201689007</v>
      </c>
      <c r="AJ67" s="110">
        <f>173151588+1131327+4983473+3173713+3734825+2472745+20781005</f>
        <v>209428676</v>
      </c>
      <c r="AK67" s="110">
        <f>192784697+1131327+5560447+2472745+2472745+2472745+22709078</f>
        <v>229603784</v>
      </c>
      <c r="AL67" s="110">
        <f>197500514+1131327+6158976+2472745+2472745+2472745+5762923</f>
        <v>217971975</v>
      </c>
      <c r="AM67" s="110">
        <f>200828379+798637+6137421+3123566+10001367+4064095+3548348</f>
        <v>228501813</v>
      </c>
      <c r="AN67" s="110"/>
      <c r="AO67" s="124"/>
      <c r="AP67" s="125">
        <f t="shared" si="13"/>
        <v>1602424926</v>
      </c>
    </row>
    <row r="68" spans="1:42" s="10" customFormat="1" ht="12.75">
      <c r="A68" s="83" t="s">
        <v>143</v>
      </c>
      <c r="B68" s="13" t="s">
        <v>144</v>
      </c>
      <c r="C68" s="110">
        <f>6600000000+554531578</f>
        <v>7154531578</v>
      </c>
      <c r="D68" s="116">
        <f>1542000+3084000+831000+4428000+9275538+1596000</f>
        <v>20756538</v>
      </c>
      <c r="E68" s="116">
        <f>797360061+4508400+9336568+20277144+11077953+9331752</f>
        <v>851891878</v>
      </c>
      <c r="F68" s="116">
        <f>330766853+49518472+105473835.31+11896781+41449746+1788041</f>
        <v>540893728.31</v>
      </c>
      <c r="G68" s="116">
        <f>134631270+39866474+20188048+35096411+52711154+29326529+91300424</f>
        <v>403120310</v>
      </c>
      <c r="H68" s="110">
        <f>45417999+151856762+11979900+39545395+33861874+149955339+357074839</f>
        <v>789692108</v>
      </c>
      <c r="I68" s="128">
        <f>-4539322+19354013+92863588+156721057+15895030+-2449580+145213761</f>
        <v>423058547</v>
      </c>
      <c r="J68" s="110">
        <f>1869045+4427637+246500+282500+3470794+1673098</f>
        <v>11969574</v>
      </c>
      <c r="K68" s="110">
        <f>40937121+86436434+6214495+209500+5091821+22796820</f>
        <v>161686191</v>
      </c>
      <c r="L68" s="110">
        <f>175368454.72+442458435+354987483+74551138+274266694+335626825+1198837699</f>
        <v>2856096728.7200003</v>
      </c>
      <c r="M68" s="110">
        <f>115349480+4989727+20770446+448145264+116512959+116613088+5207204</f>
        <v>827588168</v>
      </c>
      <c r="N68" s="110"/>
      <c r="O68" s="124"/>
      <c r="P68" s="118">
        <f t="shared" si="11"/>
        <v>6886753771.030001</v>
      </c>
      <c r="Q68" s="110">
        <v>2502538</v>
      </c>
      <c r="R68" s="110">
        <f>48000+652700+1279470+986000+4553332</f>
        <v>7519502</v>
      </c>
      <c r="S68" s="110">
        <f>38834488+2820488.4+3756169+652700+1476000+5095683+490000</f>
        <v>53125528.4</v>
      </c>
      <c r="T68" s="116">
        <f>131831659+7823022.8+1704256+2501000+2000691+2770084+33513077</f>
        <v>182143789.8</v>
      </c>
      <c r="U68" s="110">
        <f>204797603+20309683.8+10875213+10503854+5174887+10270864+212917370</f>
        <v>474849474.8</v>
      </c>
      <c r="V68" s="110">
        <f>150609101+133399651.2+57477801+72111166+37143862+80796002+93937160</f>
        <v>625474743.2</v>
      </c>
      <c r="W68" s="110">
        <f>146298959+67534026.8+60150601+126455631+27503618+76606035+293431620</f>
        <v>797980490.8</v>
      </c>
      <c r="X68" s="110">
        <f>149137665+15633348.2+1833491+12808746+2340632+2280080+26442207</f>
        <v>210476169.2</v>
      </c>
      <c r="Y68" s="110">
        <f>146047698+42832697.2+9982880+23998152+12719304+20014226+247295313</f>
        <v>502890270.2</v>
      </c>
      <c r="Z68" s="110">
        <f>139265514+226680561.2+138285609+210158199+117575423+159394814+143669750</f>
        <v>1135029870.2</v>
      </c>
      <c r="AA68" s="110"/>
      <c r="AB68" s="124"/>
      <c r="AC68" s="118">
        <f t="shared" si="12"/>
        <v>3991992376.5999994</v>
      </c>
      <c r="AD68" s="110">
        <v>2502538</v>
      </c>
      <c r="AE68" s="110">
        <f>48000+652700+1279470+986000+4553332</f>
        <v>7519502</v>
      </c>
      <c r="AF68" s="110">
        <f>38834488+2820488.4+3756169+652700+1476000+5095683+490000</f>
        <v>53125528.4</v>
      </c>
      <c r="AG68" s="116">
        <f>122786254+7823022.8+1704256+2501000+2000691+2770084+33513077</f>
        <v>173098384.8</v>
      </c>
      <c r="AH68" s="110">
        <f>142696784+20309683.8+10875213+10503854+5174887+10270864+212917370</f>
        <v>412748655.8</v>
      </c>
      <c r="AI68" s="110">
        <f>218597985+133399651.2+57477801+72111166+37143862+80796002+93937160</f>
        <v>693463627.2</v>
      </c>
      <c r="AJ68" s="110">
        <f>143531723+67534026.8+60150601+126455631+27503618+76606035+293431620</f>
        <v>795213254.8</v>
      </c>
      <c r="AK68" s="110">
        <f>147147106+8510964.2+1833491+12808746+2340632+2280080+26442207</f>
        <v>201363226.2</v>
      </c>
      <c r="AL68" s="110">
        <f>147518500+22831314.2+9982880+23998152+12719304+20014226+247295313</f>
        <v>484359689.2</v>
      </c>
      <c r="AM68" s="110">
        <f>134598706+253804328.2+138285609+210158199+117575423+159394814+143669750</f>
        <v>1157486829.2</v>
      </c>
      <c r="AN68" s="110"/>
      <c r="AO68" s="124"/>
      <c r="AP68" s="125">
        <f t="shared" si="13"/>
        <v>3980881235.5999994</v>
      </c>
    </row>
    <row r="69" spans="1:42" s="10" customFormat="1" ht="12.75">
      <c r="A69" s="83" t="s">
        <v>154</v>
      </c>
      <c r="B69" s="13" t="s">
        <v>155</v>
      </c>
      <c r="C69" s="49">
        <v>3800000000</v>
      </c>
      <c r="D69" s="111">
        <f>575238274.5+54860593+33377978+21883450+25838065+22369050+32082107</f>
        <v>765649517.5</v>
      </c>
      <c r="E69" s="111">
        <f>297184537+21319297+11453335+14531173+30487734+21115385+17237745</f>
        <v>413329206</v>
      </c>
      <c r="F69" s="111">
        <f>136042500+32890564+83581426.01+47587123+146445+4517191+3850119</f>
        <v>308615368.01</v>
      </c>
      <c r="G69" s="111">
        <f>188169094+3419430+49806350+72000+97267119+11143589</f>
        <v>349877582</v>
      </c>
      <c r="H69" s="49">
        <f>20634000+110415952+67208132+10523266+121254520+88224801</f>
        <v>418260671</v>
      </c>
      <c r="I69" s="49">
        <f>27701972+2235823+72000+3989240+596510</f>
        <v>34595545</v>
      </c>
      <c r="J69" s="49">
        <f>38090319+896033+812028+981654+2140172+4410515</f>
        <v>47330721</v>
      </c>
      <c r="K69" s="49">
        <f>182209794+4341149+1812036+1627689+605668+1153828+12372243</f>
        <v>204122407</v>
      </c>
      <c r="L69" s="49">
        <f>183431735.5+39751102+19554518+30878625+19814570+21750960+26516644</f>
        <v>341698154.5</v>
      </c>
      <c r="M69" s="49">
        <f>225935329+16845571+22075030+8237121+10839320+9343360+2821304</f>
        <v>296097035</v>
      </c>
      <c r="N69" s="49"/>
      <c r="O69" s="70"/>
      <c r="P69" s="45">
        <f>SUM(D69:O69)</f>
        <v>3179576207.01</v>
      </c>
      <c r="Q69" s="49">
        <f>21299061+4003450+3827110</f>
        <v>29129621</v>
      </c>
      <c r="R69" s="49">
        <f>19027389+33805298+6899250+12737978+9998065+12289475+7735112</f>
        <v>102492567</v>
      </c>
      <c r="S69" s="49">
        <f>75425949+17880009.2+10768543+7081585+8066445+10434809+11770119</f>
        <v>141427459.2</v>
      </c>
      <c r="T69" s="111">
        <f>86364183+14754906.4+11105419+10196610+7999599+7920000+6667530</f>
        <v>145008247.4</v>
      </c>
      <c r="U69" s="49">
        <f>118768073+16250466.4+6713803+4676610+4084158+7920000+20078795</f>
        <v>178491905.4</v>
      </c>
      <c r="V69" s="49">
        <f>106094724+29186488.6+11568735+11623674+15796332+14714105+21838976</f>
        <v>210823034.6</v>
      </c>
      <c r="W69" s="49">
        <f>126616108+21216557.4+11908288+13819322+8368626+10311236+44698861</f>
        <v>236938998.4</v>
      </c>
      <c r="X69" s="49">
        <f>146330544+12177481.6+13720324+13275363+12095788+8722488+28155479</f>
        <v>234477467.6</v>
      </c>
      <c r="Y69" s="49">
        <f>111482896+31772463.6+12509640+14053947+19023752+9463910+15891933</f>
        <v>214198541.6</v>
      </c>
      <c r="Z69" s="49">
        <f>162067345+26096399.6+31829145+30833254+35563199+14584230+28183789</f>
        <v>329157361.6</v>
      </c>
      <c r="AA69" s="49"/>
      <c r="AB69" s="70"/>
      <c r="AC69" s="45">
        <f>SUM(Q69:AB69)</f>
        <v>1822145203.7999997</v>
      </c>
      <c r="AD69" s="49">
        <f>13370361+3827110</f>
        <v>17197471</v>
      </c>
      <c r="AE69" s="49">
        <f>26122755+33805298+10902700+12737978+9998065+12289475+7735112</f>
        <v>113591383</v>
      </c>
      <c r="AF69" s="49">
        <f>71441539+17880009.2+10768543+7081585+8066445+10434809+11364019</f>
        <v>137036949.2</v>
      </c>
      <c r="AG69" s="111">
        <f>81960473+14754906.4+11105419+10196610+7999599+8326100+6667530</f>
        <v>141010637.4</v>
      </c>
      <c r="AH69" s="49">
        <f>113112341+16250466.4+6713803+4676610+4084158+7920000+20078795</f>
        <v>172836173.4</v>
      </c>
      <c r="AI69" s="49">
        <f>120419240+29186488.6+11568735+11623674+15796332+14714105+21838976</f>
        <v>225147550.6</v>
      </c>
      <c r="AJ69" s="49">
        <f>115807626+21216557.4+11908288+13819322+8368626+10311236+44698861</f>
        <v>226130516.4</v>
      </c>
      <c r="AK69" s="49">
        <f>139393499+10939441.6+13720324+13275363+12095788+8722488+28155479</f>
        <v>226302382.6</v>
      </c>
      <c r="AL69" s="49">
        <f>127510758+31772463.6+12509640+14053947+19023752+9463910+15891933</f>
        <v>230226403.6</v>
      </c>
      <c r="AM69" s="49">
        <f>153182411+27334439.6+31829145+30833254+35563199+14584230+28183789</f>
        <v>321510467.6</v>
      </c>
      <c r="AN69" s="49"/>
      <c r="AO69" s="70"/>
      <c r="AP69" s="123">
        <f>SUM(AD69:AO69)</f>
        <v>1810989934.7999997</v>
      </c>
    </row>
    <row r="70" spans="1:42" s="10" customFormat="1" ht="13.5" thickBot="1">
      <c r="A70" s="83" t="s">
        <v>171</v>
      </c>
      <c r="B70" s="13" t="s">
        <v>170</v>
      </c>
      <c r="C70" s="49">
        <v>1200000000</v>
      </c>
      <c r="D70" s="111"/>
      <c r="E70" s="111"/>
      <c r="F70" s="111"/>
      <c r="G70" s="111"/>
      <c r="H70" s="49"/>
      <c r="I70" s="49"/>
      <c r="J70" s="49"/>
      <c r="K70" s="49"/>
      <c r="L70" s="49">
        <f>57855941</f>
        <v>57855941</v>
      </c>
      <c r="M70" s="49">
        <f>113009426</f>
        <v>113009426</v>
      </c>
      <c r="N70" s="49"/>
      <c r="O70" s="70"/>
      <c r="P70" s="45">
        <f t="shared" si="11"/>
        <v>170865367</v>
      </c>
      <c r="Q70" s="49"/>
      <c r="R70" s="49"/>
      <c r="S70" s="49"/>
      <c r="T70" s="111"/>
      <c r="U70" s="49"/>
      <c r="V70" s="49"/>
      <c r="W70" s="49"/>
      <c r="X70" s="49"/>
      <c r="Y70" s="49">
        <v>0</v>
      </c>
      <c r="Z70" s="49">
        <f>1009800</f>
        <v>1009800</v>
      </c>
      <c r="AA70" s="49"/>
      <c r="AB70" s="70"/>
      <c r="AC70" s="45">
        <f t="shared" si="12"/>
        <v>1009800</v>
      </c>
      <c r="AD70" s="49"/>
      <c r="AE70" s="49"/>
      <c r="AF70" s="49"/>
      <c r="AG70" s="111"/>
      <c r="AH70" s="49"/>
      <c r="AI70" s="49"/>
      <c r="AJ70" s="49"/>
      <c r="AK70" s="49"/>
      <c r="AL70" s="49">
        <v>0</v>
      </c>
      <c r="AM70" s="49">
        <f>1009800</f>
        <v>1009800</v>
      </c>
      <c r="AN70" s="49"/>
      <c r="AO70" s="70"/>
      <c r="AP70" s="123">
        <f t="shared" si="13"/>
        <v>1009800</v>
      </c>
    </row>
    <row r="71" spans="1:42" s="11" customFormat="1" ht="13.5" thickBot="1">
      <c r="A71" s="153" t="s">
        <v>33</v>
      </c>
      <c r="B71" s="154"/>
      <c r="C71" s="47">
        <f aca="true" t="shared" si="14" ref="C71:AP71">SUM(C13+C41+C53+C56)</f>
        <v>92144882195</v>
      </c>
      <c r="D71" s="47">
        <f t="shared" si="14"/>
        <v>9868869095.5</v>
      </c>
      <c r="E71" s="47">
        <f t="shared" si="14"/>
        <v>13246657543.529999</v>
      </c>
      <c r="F71" s="47">
        <f t="shared" si="14"/>
        <v>6993562508</v>
      </c>
      <c r="G71" s="47">
        <f t="shared" si="14"/>
        <v>7562458527</v>
      </c>
      <c r="H71" s="47">
        <f t="shared" si="14"/>
        <v>8183523107</v>
      </c>
      <c r="I71" s="47">
        <f t="shared" si="14"/>
        <v>5933933502.52</v>
      </c>
      <c r="J71" s="47">
        <f t="shared" si="14"/>
        <v>4647562945</v>
      </c>
      <c r="K71" s="47">
        <f t="shared" si="14"/>
        <v>6256684748.72</v>
      </c>
      <c r="L71" s="47">
        <f t="shared" si="14"/>
        <v>8502662693.91</v>
      </c>
      <c r="M71" s="47">
        <f t="shared" si="14"/>
        <v>4873271370.72</v>
      </c>
      <c r="N71" s="47">
        <f t="shared" si="14"/>
        <v>0</v>
      </c>
      <c r="O71" s="47">
        <f t="shared" si="14"/>
        <v>0</v>
      </c>
      <c r="P71" s="47">
        <f t="shared" si="14"/>
        <v>76069186041.9</v>
      </c>
      <c r="Q71" s="47">
        <f t="shared" si="14"/>
        <v>1332919552</v>
      </c>
      <c r="R71" s="47">
        <f t="shared" si="14"/>
        <v>3398313298</v>
      </c>
      <c r="S71" s="47">
        <f t="shared" si="14"/>
        <v>4565092820.53</v>
      </c>
      <c r="T71" s="47">
        <f t="shared" si="14"/>
        <v>4427727538</v>
      </c>
      <c r="U71" s="47">
        <f t="shared" si="14"/>
        <v>5983524132</v>
      </c>
      <c r="V71" s="47">
        <f t="shared" si="14"/>
        <v>6655071273</v>
      </c>
      <c r="W71" s="47">
        <f t="shared" si="14"/>
        <v>6957072425</v>
      </c>
      <c r="X71" s="47">
        <f t="shared" si="14"/>
        <v>7144134668.000001</v>
      </c>
      <c r="Y71" s="47">
        <f t="shared" si="14"/>
        <v>7925742011.000001</v>
      </c>
      <c r="Z71" s="47">
        <f t="shared" si="14"/>
        <v>8880620077</v>
      </c>
      <c r="AA71" s="47">
        <f t="shared" si="14"/>
        <v>0</v>
      </c>
      <c r="AB71" s="47">
        <f t="shared" si="14"/>
        <v>0</v>
      </c>
      <c r="AC71" s="47">
        <f t="shared" si="14"/>
        <v>57270217794.53</v>
      </c>
      <c r="AD71" s="47">
        <f t="shared" si="14"/>
        <v>1318796737</v>
      </c>
      <c r="AE71" s="47">
        <f t="shared" si="14"/>
        <v>2944432979</v>
      </c>
      <c r="AF71" s="47">
        <f t="shared" si="14"/>
        <v>4660270406</v>
      </c>
      <c r="AG71" s="47">
        <f t="shared" si="14"/>
        <v>4318659472.530001</v>
      </c>
      <c r="AH71" s="47">
        <f t="shared" si="14"/>
        <v>6111161933</v>
      </c>
      <c r="AI71" s="47">
        <f t="shared" si="14"/>
        <v>6487343672</v>
      </c>
      <c r="AJ71" s="47">
        <f t="shared" si="14"/>
        <v>7301248579</v>
      </c>
      <c r="AK71" s="47">
        <f t="shared" si="14"/>
        <v>6991446011.000001</v>
      </c>
      <c r="AL71" s="47">
        <f t="shared" si="14"/>
        <v>7822351429.000001</v>
      </c>
      <c r="AM71" s="47">
        <f t="shared" si="14"/>
        <v>9081466066</v>
      </c>
      <c r="AN71" s="47">
        <f t="shared" si="14"/>
        <v>0</v>
      </c>
      <c r="AO71" s="47">
        <f t="shared" si="14"/>
        <v>0</v>
      </c>
      <c r="AP71" s="37">
        <f t="shared" si="14"/>
        <v>57037177284.53</v>
      </c>
    </row>
    <row r="72" spans="1:42" ht="12.75">
      <c r="A72" s="69" t="s">
        <v>163</v>
      </c>
      <c r="B72" s="7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79"/>
    </row>
    <row r="73" spans="1:42" ht="12.75">
      <c r="A73" s="7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80"/>
    </row>
    <row r="74" spans="1:42" ht="12.75">
      <c r="A74" s="7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108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80"/>
    </row>
    <row r="75" spans="1:42" ht="12.75">
      <c r="A75" s="71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80"/>
    </row>
    <row r="76" spans="1:42" ht="12.75">
      <c r="A76" s="71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107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80"/>
    </row>
    <row r="77" spans="1:42" ht="9.75" customHeight="1" thickBot="1">
      <c r="A77" s="71"/>
      <c r="B77" s="81"/>
      <c r="C77" s="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59"/>
      <c r="AL77" s="59"/>
      <c r="AM77" s="59"/>
      <c r="AN77" s="59"/>
      <c r="AO77" s="59"/>
      <c r="AP77" s="80"/>
    </row>
    <row r="78" spans="1:42" ht="12.75" customHeight="1">
      <c r="A78" s="71"/>
      <c r="B78" s="104" t="s">
        <v>164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59"/>
      <c r="AM78" s="59"/>
      <c r="AN78" s="59"/>
      <c r="AO78" s="59"/>
      <c r="AP78" s="80"/>
    </row>
    <row r="79" spans="1:42" ht="0.75" customHeight="1" thickBot="1">
      <c r="A79" s="2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</row>
    <row r="80" spans="1:42" ht="0.75" customHeight="1">
      <c r="A80" s="10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0.75" customHeight="1">
      <c r="A81" s="10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51.75" customHeight="1">
      <c r="A82" s="151" t="s">
        <v>173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</row>
    <row r="83" spans="1:42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</row>
    <row r="84" spans="1:42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</row>
  </sheetData>
  <sheetProtection/>
  <mergeCells count="9">
    <mergeCell ref="A5:AP5"/>
    <mergeCell ref="A4:AP4"/>
    <mergeCell ref="A1:AP1"/>
    <mergeCell ref="A2:AP2"/>
    <mergeCell ref="A3:AP3"/>
    <mergeCell ref="A82:AP82"/>
    <mergeCell ref="X78:AK78"/>
    <mergeCell ref="X77:AJ77"/>
    <mergeCell ref="A71:B71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&amp;CHACIENDA2011</oddFooter>
  </headerFooter>
  <ignoredErrors>
    <ignoredError sqref="V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51" sqref="B51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12" width="17.57421875" style="1" hidden="1" customWidth="1"/>
    <col min="13" max="13" width="17.57421875" style="1" customWidth="1"/>
    <col min="14" max="15" width="17.57421875" style="1" hidden="1" customWidth="1"/>
    <col min="16" max="16" width="19.28125" style="1" bestFit="1" customWidth="1"/>
    <col min="17" max="17" width="8.57421875" style="1" hidden="1" customWidth="1"/>
    <col min="18" max="19" width="14.57421875" style="1" hidden="1" customWidth="1"/>
    <col min="20" max="20" width="12.421875" style="1" hidden="1" customWidth="1"/>
    <col min="21" max="21" width="13.57421875" style="1" hidden="1" customWidth="1"/>
    <col min="22" max="22" width="20.7109375" style="1" hidden="1" customWidth="1"/>
    <col min="23" max="23" width="18.28125" style="1" hidden="1" customWidth="1"/>
    <col min="24" max="24" width="16.28125" style="1" hidden="1" customWidth="1"/>
    <col min="25" max="25" width="19.28125" style="1" hidden="1" customWidth="1"/>
    <col min="26" max="26" width="15.8515625" style="1" customWidth="1"/>
    <col min="27" max="27" width="15.7109375" style="1" hidden="1" customWidth="1"/>
    <col min="28" max="28" width="16.710937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4"/>
    </row>
    <row r="2" spans="1:29" s="22" customFormat="1" ht="1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7"/>
    </row>
    <row r="3" spans="1:29" s="22" customFormat="1" ht="15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</row>
    <row r="4" spans="1:29" s="22" customFormat="1" ht="15">
      <c r="A4" s="135" t="s">
        <v>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</row>
    <row r="5" spans="1:29" s="22" customFormat="1" ht="15">
      <c r="A5" s="135" t="s">
        <v>38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7"/>
    </row>
    <row r="6" spans="1:29" s="22" customFormat="1" ht="14.25">
      <c r="A6" s="24"/>
      <c r="B6" s="25"/>
      <c r="C6" s="25"/>
      <c r="D6" s="25" t="s">
        <v>161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63" t="s">
        <v>2</v>
      </c>
      <c r="B7" s="164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172</v>
      </c>
    </row>
    <row r="8" spans="1:29" s="22" customFormat="1" ht="15" customHeight="1" thickBot="1">
      <c r="A8" s="163" t="s">
        <v>3</v>
      </c>
      <c r="B8" s="164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2011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5.75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Z14">SUM(C15+C17)</f>
        <v>34849116</v>
      </c>
      <c r="D14" s="36">
        <f t="shared" si="0"/>
        <v>0</v>
      </c>
      <c r="E14" s="36">
        <f t="shared" si="0"/>
        <v>32826122</v>
      </c>
      <c r="F14" s="36">
        <f t="shared" si="0"/>
        <v>0</v>
      </c>
      <c r="G14" s="36">
        <f t="shared" si="0"/>
        <v>0</v>
      </c>
      <c r="H14" s="36">
        <f t="shared" si="0"/>
        <v>2022994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34849116</v>
      </c>
      <c r="Q14" s="36">
        <f t="shared" si="0"/>
        <v>0</v>
      </c>
      <c r="R14" s="36">
        <f t="shared" si="0"/>
        <v>17082722</v>
      </c>
      <c r="S14" s="36">
        <f t="shared" si="0"/>
        <v>15743400</v>
      </c>
      <c r="T14" s="36">
        <f t="shared" si="0"/>
        <v>0</v>
      </c>
      <c r="U14" s="36">
        <f t="shared" si="0"/>
        <v>2022994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>SUM(AA15,AA17,AA19)</f>
        <v>0</v>
      </c>
      <c r="AB14" s="36">
        <f>SUM(AB15+AB17)</f>
        <v>0</v>
      </c>
      <c r="AC14" s="36">
        <f>SUM(AC15+AC17)</f>
        <v>34849116</v>
      </c>
    </row>
    <row r="15" spans="1:29" s="14" customFormat="1" ht="13.5" thickBot="1">
      <c r="A15" s="34"/>
      <c r="B15" s="35" t="s">
        <v>42</v>
      </c>
      <c r="C15" s="36">
        <f aca="true" t="shared" si="1" ref="C15:O15">SUM(C16:C16)</f>
        <v>1760000</v>
      </c>
      <c r="D15" s="36">
        <f t="shared" si="1"/>
        <v>0</v>
      </c>
      <c r="E15" s="36">
        <f t="shared" si="1"/>
        <v>1760000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1760000</v>
      </c>
      <c r="Q15" s="36">
        <f t="shared" si="2"/>
        <v>0</v>
      </c>
      <c r="R15" s="36">
        <f t="shared" si="2"/>
        <v>1760000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1760000</v>
      </c>
    </row>
    <row r="16" spans="1:29" s="12" customFormat="1" ht="13.5" thickBot="1">
      <c r="A16" s="15" t="s">
        <v>128</v>
      </c>
      <c r="B16" s="40" t="s">
        <v>32</v>
      </c>
      <c r="C16" s="41">
        <v>1760000</v>
      </c>
      <c r="D16" s="41">
        <v>0</v>
      </c>
      <c r="E16" s="41">
        <v>1760000</v>
      </c>
      <c r="F16" s="41">
        <v>0</v>
      </c>
      <c r="G16" s="41"/>
      <c r="H16" s="41"/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/>
      <c r="O16" s="41"/>
      <c r="P16" s="42">
        <f>SUM(D16:O16)</f>
        <v>1760000</v>
      </c>
      <c r="Q16" s="41">
        <v>0</v>
      </c>
      <c r="R16" s="42">
        <v>1760000</v>
      </c>
      <c r="S16" s="42">
        <v>0</v>
      </c>
      <c r="T16" s="42"/>
      <c r="U16" s="42">
        <v>0</v>
      </c>
      <c r="V16" s="42">
        <v>0</v>
      </c>
      <c r="W16" s="42">
        <v>0</v>
      </c>
      <c r="X16" s="42"/>
      <c r="Y16" s="42"/>
      <c r="Z16" s="42">
        <v>0</v>
      </c>
      <c r="AA16" s="101"/>
      <c r="AB16" s="42"/>
      <c r="AC16" s="84">
        <f>SUM(Q16:AB16)</f>
        <v>1760000</v>
      </c>
    </row>
    <row r="17" spans="1:29" s="14" customFormat="1" ht="13.5" thickBot="1">
      <c r="A17" s="21"/>
      <c r="B17" s="46" t="s">
        <v>43</v>
      </c>
      <c r="C17" s="47">
        <f aca="true" t="shared" si="3" ref="C17:Z17">SUM(C18:C18)</f>
        <v>33089116</v>
      </c>
      <c r="D17" s="47">
        <f t="shared" si="3"/>
        <v>0</v>
      </c>
      <c r="E17" s="47">
        <f t="shared" si="3"/>
        <v>31066122</v>
      </c>
      <c r="F17" s="47">
        <f t="shared" si="3"/>
        <v>0</v>
      </c>
      <c r="G17" s="47">
        <f t="shared" si="3"/>
        <v>0</v>
      </c>
      <c r="H17" s="47">
        <f t="shared" si="3"/>
        <v>2022994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33089116</v>
      </c>
      <c r="Q17" s="47">
        <f t="shared" si="3"/>
        <v>0</v>
      </c>
      <c r="R17" s="47">
        <f t="shared" si="3"/>
        <v>15322722</v>
      </c>
      <c r="S17" s="47">
        <f t="shared" si="3"/>
        <v>15743400</v>
      </c>
      <c r="T17" s="47">
        <f t="shared" si="3"/>
        <v>0</v>
      </c>
      <c r="U17" s="47">
        <f t="shared" si="3"/>
        <v>2022994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100">
        <v>0</v>
      </c>
      <c r="AB17" s="47">
        <f>SUM(AB18:AB18)</f>
        <v>0</v>
      </c>
      <c r="AC17" s="37">
        <f>SUM(AC18:AC18)</f>
        <v>33089116</v>
      </c>
    </row>
    <row r="18" spans="1:29" s="14" customFormat="1" ht="13.5" thickBot="1">
      <c r="A18" s="16" t="s">
        <v>147</v>
      </c>
      <c r="B18" s="48" t="s">
        <v>156</v>
      </c>
      <c r="C18" s="90">
        <f>33089126-10</f>
        <v>33089116</v>
      </c>
      <c r="D18" s="90">
        <v>0</v>
      </c>
      <c r="E18" s="90">
        <v>31066122</v>
      </c>
      <c r="F18" s="86">
        <v>0</v>
      </c>
      <c r="G18" s="86"/>
      <c r="H18" s="86">
        <v>2022994</v>
      </c>
      <c r="I18" s="86"/>
      <c r="J18" s="86">
        <v>0</v>
      </c>
      <c r="K18" s="86">
        <v>0</v>
      </c>
      <c r="L18" s="86">
        <v>0</v>
      </c>
      <c r="M18" s="86"/>
      <c r="N18" s="86"/>
      <c r="O18" s="86"/>
      <c r="P18" s="42">
        <f>SUM(D18:O18)</f>
        <v>33089116</v>
      </c>
      <c r="Q18" s="90">
        <v>0</v>
      </c>
      <c r="R18" s="86">
        <v>15322722</v>
      </c>
      <c r="S18" s="90">
        <v>15743400</v>
      </c>
      <c r="T18" s="86"/>
      <c r="U18" s="86">
        <v>2022994</v>
      </c>
      <c r="V18" s="86">
        <v>0</v>
      </c>
      <c r="W18" s="86">
        <v>0</v>
      </c>
      <c r="X18" s="86"/>
      <c r="Y18" s="86"/>
      <c r="Z18" s="86"/>
      <c r="AA18" s="103"/>
      <c r="AB18" s="86"/>
      <c r="AC18" s="84">
        <f>SUM(Q18:AB18)</f>
        <v>33089116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SUM(C24:C35)</f>
        <v>1220667033.9999998</v>
      </c>
      <c r="D23" s="47">
        <f t="shared" si="5"/>
        <v>0</v>
      </c>
      <c r="E23" s="47">
        <f t="shared" si="5"/>
        <v>640655668</v>
      </c>
      <c r="F23" s="47">
        <f t="shared" si="5"/>
        <v>276913546</v>
      </c>
      <c r="G23" s="47">
        <f t="shared" si="5"/>
        <v>90679859</v>
      </c>
      <c r="H23" s="47">
        <f t="shared" si="5"/>
        <v>10925500</v>
      </c>
      <c r="I23" s="47">
        <f t="shared" si="5"/>
        <v>34564961</v>
      </c>
      <c r="J23" s="47">
        <f t="shared" si="5"/>
        <v>11888000</v>
      </c>
      <c r="K23" s="47">
        <f t="shared" si="5"/>
        <v>21375484</v>
      </c>
      <c r="L23" s="47">
        <f t="shared" si="5"/>
        <v>18738642</v>
      </c>
      <c r="M23" s="47">
        <f t="shared" si="5"/>
        <v>19196782</v>
      </c>
      <c r="N23" s="47">
        <f t="shared" si="5"/>
        <v>0</v>
      </c>
      <c r="O23" s="47">
        <f t="shared" si="5"/>
        <v>0</v>
      </c>
      <c r="P23" s="47">
        <f t="shared" si="5"/>
        <v>1124938442</v>
      </c>
      <c r="Q23" s="47">
        <f t="shared" si="5"/>
        <v>0</v>
      </c>
      <c r="R23" s="47">
        <f t="shared" si="5"/>
        <v>577392810</v>
      </c>
      <c r="S23" s="47">
        <f t="shared" si="5"/>
        <v>334797271.99999994</v>
      </c>
      <c r="T23" s="47">
        <f t="shared" si="5"/>
        <v>5379132</v>
      </c>
      <c r="U23" s="47">
        <f t="shared" si="5"/>
        <v>98567859</v>
      </c>
      <c r="V23" s="47">
        <f t="shared" si="5"/>
        <v>27370900</v>
      </c>
      <c r="W23" s="47">
        <f t="shared" si="5"/>
        <v>22119561</v>
      </c>
      <c r="X23" s="47">
        <f t="shared" si="5"/>
        <v>21375484</v>
      </c>
      <c r="Y23" s="47">
        <f t="shared" si="5"/>
        <v>15648518</v>
      </c>
      <c r="Z23" s="47">
        <f t="shared" si="5"/>
        <v>19559398</v>
      </c>
      <c r="AA23" s="47">
        <f t="shared" si="5"/>
        <v>0</v>
      </c>
      <c r="AB23" s="47">
        <f t="shared" si="5"/>
        <v>0</v>
      </c>
      <c r="AC23" s="37">
        <f t="shared" si="5"/>
        <v>1122210934</v>
      </c>
    </row>
    <row r="24" spans="1:29" s="10" customFormat="1" ht="13.5" thickBot="1">
      <c r="A24" s="83" t="s">
        <v>116</v>
      </c>
      <c r="B24" s="13" t="s">
        <v>115</v>
      </c>
      <c r="C24" s="49">
        <f>516829424.64-3675804</f>
        <v>513153620.64</v>
      </c>
      <c r="D24" s="111">
        <v>0</v>
      </c>
      <c r="E24" s="111">
        <f>94320009+9864718+3300000+4613186+14931142+9460330+7981688</f>
        <v>144471073</v>
      </c>
      <c r="F24" s="111">
        <v>159274640.64</v>
      </c>
      <c r="G24" s="111">
        <v>80031946</v>
      </c>
      <c r="H24" s="111">
        <v>10925500</v>
      </c>
      <c r="I24" s="111">
        <v>34564961</v>
      </c>
      <c r="J24" s="111">
        <v>11888000</v>
      </c>
      <c r="K24" s="111">
        <v>10858793</v>
      </c>
      <c r="L24" s="111">
        <v>10277994</v>
      </c>
      <c r="M24" s="111">
        <v>10378914</v>
      </c>
      <c r="N24" s="100"/>
      <c r="O24" s="111"/>
      <c r="P24" s="50">
        <f aca="true" t="shared" si="6" ref="P24:P35">SUM(D24:O24)</f>
        <v>472671821.64</v>
      </c>
      <c r="Q24" s="111">
        <v>0</v>
      </c>
      <c r="R24" s="121">
        <f>58644981+9864718+3300000+4613186+8035330</f>
        <v>84458215</v>
      </c>
      <c r="S24" s="111">
        <f>190995536.64+14931142+7981688</f>
        <v>213908366.64</v>
      </c>
      <c r="T24" s="111">
        <v>5379132</v>
      </c>
      <c r="U24" s="111">
        <v>87919946</v>
      </c>
      <c r="V24" s="111">
        <v>27370900</v>
      </c>
      <c r="W24" s="111">
        <v>22119561</v>
      </c>
      <c r="X24" s="111">
        <v>10858793</v>
      </c>
      <c r="Y24" s="111">
        <v>9597355</v>
      </c>
      <c r="Z24" s="111">
        <v>10458785</v>
      </c>
      <c r="AA24" s="47"/>
      <c r="AB24" s="111"/>
      <c r="AC24" s="43">
        <f aca="true" t="shared" si="7" ref="AC24:AC35">SUM(Q24:AB24)</f>
        <v>472071053.64</v>
      </c>
    </row>
    <row r="25" spans="1:29" s="10" customFormat="1" ht="12.75">
      <c r="A25" s="83" t="s">
        <v>117</v>
      </c>
      <c r="B25" s="13" t="s">
        <v>126</v>
      </c>
      <c r="C25" s="49">
        <v>191347296.3</v>
      </c>
      <c r="D25" s="111">
        <v>0</v>
      </c>
      <c r="E25" s="111">
        <v>176000000</v>
      </c>
      <c r="F25" s="111">
        <v>13222996.3</v>
      </c>
      <c r="G25" s="111">
        <v>0</v>
      </c>
      <c r="H25" s="111">
        <v>0</v>
      </c>
      <c r="I25" s="111">
        <v>0</v>
      </c>
      <c r="J25" s="111">
        <v>0</v>
      </c>
      <c r="K25" s="111">
        <v>269028</v>
      </c>
      <c r="L25" s="111">
        <v>216432</v>
      </c>
      <c r="M25" s="111">
        <v>225570</v>
      </c>
      <c r="N25" s="100"/>
      <c r="O25" s="111"/>
      <c r="P25" s="50">
        <f t="shared" si="6"/>
        <v>189934026.3</v>
      </c>
      <c r="Q25" s="111">
        <v>0</v>
      </c>
      <c r="R25" s="111">
        <v>176000000</v>
      </c>
      <c r="S25" s="111">
        <v>13222996.3</v>
      </c>
      <c r="T25" s="111">
        <v>0</v>
      </c>
      <c r="U25" s="111">
        <v>0</v>
      </c>
      <c r="V25" s="111">
        <v>0</v>
      </c>
      <c r="W25" s="111">
        <v>0</v>
      </c>
      <c r="X25" s="111">
        <v>269028</v>
      </c>
      <c r="Y25" s="111">
        <v>154795</v>
      </c>
      <c r="Z25" s="111">
        <v>232803</v>
      </c>
      <c r="AA25" s="100"/>
      <c r="AB25" s="111"/>
      <c r="AC25" s="43">
        <f t="shared" si="7"/>
        <v>189879622.3</v>
      </c>
    </row>
    <row r="26" spans="1:29" s="10" customFormat="1" ht="12.75">
      <c r="A26" s="83" t="s">
        <v>118</v>
      </c>
      <c r="B26" s="13" t="s">
        <v>127</v>
      </c>
      <c r="C26" s="49">
        <v>35049336.01</v>
      </c>
      <c r="D26" s="111">
        <v>0</v>
      </c>
      <c r="E26" s="111">
        <v>18583464</v>
      </c>
      <c r="F26" s="111">
        <v>15860822.01</v>
      </c>
      <c r="G26" s="111">
        <v>0</v>
      </c>
      <c r="H26" s="111">
        <v>0</v>
      </c>
      <c r="I26" s="111">
        <v>0</v>
      </c>
      <c r="J26" s="111">
        <v>0</v>
      </c>
      <c r="K26" s="111">
        <v>76626</v>
      </c>
      <c r="L26" s="111">
        <v>61645</v>
      </c>
      <c r="M26" s="111">
        <v>64160</v>
      </c>
      <c r="N26" s="111"/>
      <c r="O26" s="111"/>
      <c r="P26" s="50">
        <f t="shared" si="6"/>
        <v>34646717.01</v>
      </c>
      <c r="Q26" s="111">
        <v>0</v>
      </c>
      <c r="R26" s="111">
        <v>18583464</v>
      </c>
      <c r="S26" s="111">
        <v>15860822.01</v>
      </c>
      <c r="T26" s="111">
        <v>0</v>
      </c>
      <c r="U26" s="111">
        <v>0</v>
      </c>
      <c r="V26" s="111">
        <v>0</v>
      </c>
      <c r="W26" s="111">
        <v>0</v>
      </c>
      <c r="X26" s="111">
        <v>76626</v>
      </c>
      <c r="Y26" s="111">
        <v>44089</v>
      </c>
      <c r="Z26" s="111">
        <v>66217</v>
      </c>
      <c r="AA26" s="100"/>
      <c r="AB26" s="111"/>
      <c r="AC26" s="43">
        <f t="shared" si="7"/>
        <v>34631218.01</v>
      </c>
    </row>
    <row r="27" spans="1:29" s="10" customFormat="1" ht="12.75">
      <c r="A27" s="83" t="s">
        <v>119</v>
      </c>
      <c r="B27" s="13" t="s">
        <v>133</v>
      </c>
      <c r="C27" s="49">
        <v>5504997.68</v>
      </c>
      <c r="D27" s="111">
        <v>0</v>
      </c>
      <c r="E27" s="111">
        <v>0</v>
      </c>
      <c r="F27" s="111">
        <v>3773868.68</v>
      </c>
      <c r="G27" s="111">
        <v>0</v>
      </c>
      <c r="H27" s="111">
        <v>0</v>
      </c>
      <c r="I27" s="111">
        <v>0</v>
      </c>
      <c r="J27" s="111">
        <v>0</v>
      </c>
      <c r="K27" s="111">
        <v>219236</v>
      </c>
      <c r="L27" s="111">
        <v>176374</v>
      </c>
      <c r="M27" s="111">
        <v>183821</v>
      </c>
      <c r="N27" s="111"/>
      <c r="O27" s="111"/>
      <c r="P27" s="50">
        <f t="shared" si="6"/>
        <v>4353299.68</v>
      </c>
      <c r="Q27" s="111">
        <v>0</v>
      </c>
      <c r="R27" s="121">
        <v>0</v>
      </c>
      <c r="S27" s="111">
        <v>3773868.68</v>
      </c>
      <c r="T27" s="111">
        <v>0</v>
      </c>
      <c r="U27" s="111">
        <v>0</v>
      </c>
      <c r="V27" s="111">
        <v>0</v>
      </c>
      <c r="W27" s="111">
        <v>0</v>
      </c>
      <c r="X27" s="111">
        <v>219236</v>
      </c>
      <c r="Y27" s="111">
        <v>126145</v>
      </c>
      <c r="Z27" s="111">
        <v>189715</v>
      </c>
      <c r="AA27" s="100"/>
      <c r="AB27" s="111"/>
      <c r="AC27" s="43">
        <f t="shared" si="7"/>
        <v>4308964.68</v>
      </c>
    </row>
    <row r="28" spans="1:29" s="10" customFormat="1" ht="12.75">
      <c r="A28" s="83" t="s">
        <v>120</v>
      </c>
      <c r="B28" s="13" t="s">
        <v>134</v>
      </c>
      <c r="C28" s="49">
        <v>1091788</v>
      </c>
      <c r="D28" s="111">
        <v>0</v>
      </c>
      <c r="E28" s="111">
        <v>1059143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4134</v>
      </c>
      <c r="L28" s="111">
        <v>3327</v>
      </c>
      <c r="M28" s="111">
        <v>3467</v>
      </c>
      <c r="N28" s="111"/>
      <c r="O28" s="111"/>
      <c r="P28" s="50">
        <f t="shared" si="6"/>
        <v>1070071</v>
      </c>
      <c r="Q28" s="111">
        <v>0</v>
      </c>
      <c r="R28" s="111">
        <v>1059143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4134</v>
      </c>
      <c r="Y28" s="111">
        <v>2379</v>
      </c>
      <c r="Z28" s="111">
        <v>3579</v>
      </c>
      <c r="AA28" s="100"/>
      <c r="AB28" s="111"/>
      <c r="AC28" s="43">
        <f t="shared" si="7"/>
        <v>1069235</v>
      </c>
    </row>
    <row r="29" spans="1:29" s="10" customFormat="1" ht="12.75">
      <c r="A29" s="83" t="s">
        <v>121</v>
      </c>
      <c r="B29" s="13" t="s">
        <v>135</v>
      </c>
      <c r="C29" s="49">
        <v>19825016.14</v>
      </c>
      <c r="D29" s="111">
        <v>0</v>
      </c>
      <c r="E29" s="111">
        <v>0</v>
      </c>
      <c r="F29" s="111">
        <v>3223152.14</v>
      </c>
      <c r="G29" s="111">
        <v>0</v>
      </c>
      <c r="H29" s="111">
        <v>0</v>
      </c>
      <c r="I29" s="111">
        <v>0</v>
      </c>
      <c r="J29" s="111">
        <v>0</v>
      </c>
      <c r="K29" s="111">
        <v>2102510</v>
      </c>
      <c r="L29" s="111">
        <v>1691463</v>
      </c>
      <c r="M29" s="111">
        <v>1762882</v>
      </c>
      <c r="N29" s="111"/>
      <c r="O29" s="111"/>
      <c r="P29" s="50">
        <f t="shared" si="6"/>
        <v>8780007.14</v>
      </c>
      <c r="Q29" s="111">
        <v>0</v>
      </c>
      <c r="R29" s="121">
        <v>0</v>
      </c>
      <c r="S29" s="111">
        <v>3223152.14</v>
      </c>
      <c r="T29" s="111">
        <v>0</v>
      </c>
      <c r="U29" s="111">
        <v>0</v>
      </c>
      <c r="V29" s="111">
        <v>0</v>
      </c>
      <c r="W29" s="111">
        <v>0</v>
      </c>
      <c r="X29" s="111">
        <v>2102510</v>
      </c>
      <c r="Y29" s="111">
        <v>1209756</v>
      </c>
      <c r="Z29" s="111">
        <v>1819408</v>
      </c>
      <c r="AA29" s="100"/>
      <c r="AB29" s="111"/>
      <c r="AC29" s="43">
        <f t="shared" si="7"/>
        <v>8354826.140000001</v>
      </c>
    </row>
    <row r="30" spans="1:29" s="10" customFormat="1" ht="12.75">
      <c r="A30" s="83" t="s">
        <v>122</v>
      </c>
      <c r="B30" s="13" t="s">
        <v>136</v>
      </c>
      <c r="C30" s="49">
        <v>7716751.23</v>
      </c>
      <c r="D30" s="111">
        <v>0</v>
      </c>
      <c r="E30" s="111">
        <v>0</v>
      </c>
      <c r="F30" s="111">
        <v>6819961.23</v>
      </c>
      <c r="G30" s="111">
        <v>0</v>
      </c>
      <c r="H30" s="111">
        <v>0</v>
      </c>
      <c r="I30" s="111">
        <v>0</v>
      </c>
      <c r="J30" s="111">
        <v>0</v>
      </c>
      <c r="K30" s="111">
        <v>113572</v>
      </c>
      <c r="L30" s="111">
        <v>91369</v>
      </c>
      <c r="M30" s="111">
        <v>95225</v>
      </c>
      <c r="N30" s="111"/>
      <c r="O30" s="111"/>
      <c r="P30" s="50">
        <f t="shared" si="6"/>
        <v>7120127.23</v>
      </c>
      <c r="Q30" s="111">
        <v>0</v>
      </c>
      <c r="R30" s="121">
        <v>0</v>
      </c>
      <c r="S30" s="111">
        <v>6819961.23</v>
      </c>
      <c r="T30" s="111">
        <v>0</v>
      </c>
      <c r="U30" s="111">
        <v>0</v>
      </c>
      <c r="V30" s="111">
        <v>0</v>
      </c>
      <c r="W30" s="111">
        <v>0</v>
      </c>
      <c r="X30" s="111">
        <v>113572</v>
      </c>
      <c r="Y30" s="111">
        <v>65348</v>
      </c>
      <c r="Z30" s="111">
        <v>98279</v>
      </c>
      <c r="AA30" s="100"/>
      <c r="AB30" s="111"/>
      <c r="AC30" s="43">
        <f t="shared" si="7"/>
        <v>7097160.23</v>
      </c>
    </row>
    <row r="31" spans="1:29" s="10" customFormat="1" ht="12.75">
      <c r="A31" s="83" t="s">
        <v>123</v>
      </c>
      <c r="B31" s="13" t="s">
        <v>137</v>
      </c>
      <c r="C31" s="49">
        <v>73456338.79</v>
      </c>
      <c r="D31" s="111">
        <v>0</v>
      </c>
      <c r="E31" s="111">
        <v>41419797</v>
      </c>
      <c r="F31" s="111">
        <v>15375816.79</v>
      </c>
      <c r="G31" s="111">
        <v>10647913</v>
      </c>
      <c r="H31" s="111">
        <v>0</v>
      </c>
      <c r="I31" s="111">
        <v>0</v>
      </c>
      <c r="J31" s="111">
        <v>0</v>
      </c>
      <c r="K31" s="111">
        <v>761480</v>
      </c>
      <c r="L31" s="111">
        <v>612609</v>
      </c>
      <c r="M31" s="111">
        <v>638475</v>
      </c>
      <c r="N31" s="111"/>
      <c r="O31" s="111"/>
      <c r="P31" s="50">
        <f t="shared" si="6"/>
        <v>69456090.78999999</v>
      </c>
      <c r="Q31" s="111">
        <v>0</v>
      </c>
      <c r="R31" s="111">
        <v>41419797</v>
      </c>
      <c r="S31" s="111">
        <v>15375816.79</v>
      </c>
      <c r="T31" s="111">
        <v>0</v>
      </c>
      <c r="U31" s="111">
        <v>10647913</v>
      </c>
      <c r="V31" s="111">
        <v>0</v>
      </c>
      <c r="W31" s="111">
        <v>0</v>
      </c>
      <c r="X31" s="111">
        <v>761480</v>
      </c>
      <c r="Y31" s="111">
        <v>438146</v>
      </c>
      <c r="Z31" s="111">
        <v>658947</v>
      </c>
      <c r="AA31" s="100"/>
      <c r="AB31" s="111"/>
      <c r="AC31" s="43">
        <f t="shared" si="7"/>
        <v>69302099.78999999</v>
      </c>
    </row>
    <row r="32" spans="1:29" s="10" customFormat="1" ht="12.75">
      <c r="A32" s="83" t="s">
        <v>124</v>
      </c>
      <c r="B32" s="13" t="s">
        <v>138</v>
      </c>
      <c r="C32" s="49">
        <v>189056486.74</v>
      </c>
      <c r="D32" s="111">
        <v>0</v>
      </c>
      <c r="E32" s="111">
        <v>170000000</v>
      </c>
      <c r="F32" s="111">
        <v>7585782.74</v>
      </c>
      <c r="G32" s="111">
        <v>0</v>
      </c>
      <c r="H32" s="111">
        <v>0</v>
      </c>
      <c r="I32" s="111">
        <v>0</v>
      </c>
      <c r="J32" s="111">
        <v>0</v>
      </c>
      <c r="K32" s="111">
        <v>1452685</v>
      </c>
      <c r="L32" s="111">
        <v>1168680</v>
      </c>
      <c r="M32" s="111">
        <v>1218025</v>
      </c>
      <c r="N32" s="111"/>
      <c r="O32" s="111"/>
      <c r="P32" s="50">
        <f t="shared" si="6"/>
        <v>181425172.74</v>
      </c>
      <c r="Q32" s="111">
        <v>0</v>
      </c>
      <c r="R32" s="111">
        <v>170000000</v>
      </c>
      <c r="S32" s="111">
        <v>7585782.74</v>
      </c>
      <c r="T32" s="111">
        <v>0</v>
      </c>
      <c r="U32" s="111">
        <v>0</v>
      </c>
      <c r="V32" s="111">
        <v>0</v>
      </c>
      <c r="W32" s="111">
        <v>0</v>
      </c>
      <c r="X32" s="111">
        <v>1452685</v>
      </c>
      <c r="Y32" s="111">
        <v>835855</v>
      </c>
      <c r="Z32" s="111">
        <v>1257081</v>
      </c>
      <c r="AA32" s="100"/>
      <c r="AB32" s="111"/>
      <c r="AC32" s="43">
        <f t="shared" si="7"/>
        <v>181131403.74</v>
      </c>
    </row>
    <row r="33" spans="1:29" s="10" customFormat="1" ht="12.75">
      <c r="A33" s="83" t="s">
        <v>125</v>
      </c>
      <c r="B33" s="13" t="s">
        <v>139</v>
      </c>
      <c r="C33" s="49">
        <v>18502238.65</v>
      </c>
      <c r="D33" s="111">
        <v>0</v>
      </c>
      <c r="E33" s="111">
        <v>0</v>
      </c>
      <c r="F33" s="111">
        <v>192543.65</v>
      </c>
      <c r="G33" s="111">
        <v>0</v>
      </c>
      <c r="H33" s="111">
        <v>0</v>
      </c>
      <c r="I33" s="111">
        <v>0</v>
      </c>
      <c r="J33" s="111">
        <v>0</v>
      </c>
      <c r="K33" s="111">
        <v>2318796</v>
      </c>
      <c r="L33" s="111">
        <v>1865465</v>
      </c>
      <c r="M33" s="111">
        <v>1944228</v>
      </c>
      <c r="N33" s="111"/>
      <c r="O33" s="111"/>
      <c r="P33" s="50">
        <f t="shared" si="6"/>
        <v>6321032.65</v>
      </c>
      <c r="Q33" s="111">
        <v>0</v>
      </c>
      <c r="R33" s="121">
        <v>0</v>
      </c>
      <c r="S33" s="111">
        <v>192543.65</v>
      </c>
      <c r="T33" s="111">
        <v>0</v>
      </c>
      <c r="U33" s="111">
        <v>0</v>
      </c>
      <c r="V33" s="111">
        <v>0</v>
      </c>
      <c r="W33" s="111">
        <v>0</v>
      </c>
      <c r="X33" s="111">
        <v>2318796</v>
      </c>
      <c r="Y33" s="111">
        <v>1334205</v>
      </c>
      <c r="Z33" s="111">
        <v>2006570</v>
      </c>
      <c r="AA33" s="100"/>
      <c r="AB33" s="111"/>
      <c r="AC33" s="43">
        <f t="shared" si="7"/>
        <v>5852114.65</v>
      </c>
    </row>
    <row r="34" spans="1:29" s="10" customFormat="1" ht="12.75">
      <c r="A34" s="83" t="s">
        <v>132</v>
      </c>
      <c r="B34" s="13" t="s">
        <v>140</v>
      </c>
      <c r="C34" s="49">
        <v>80434190.99</v>
      </c>
      <c r="D34" s="111">
        <v>0</v>
      </c>
      <c r="E34" s="111">
        <v>52861329</v>
      </c>
      <c r="F34" s="111">
        <v>10519126.99</v>
      </c>
      <c r="G34" s="111">
        <v>0</v>
      </c>
      <c r="H34" s="111">
        <v>0</v>
      </c>
      <c r="I34" s="111">
        <v>0</v>
      </c>
      <c r="J34" s="111">
        <v>0</v>
      </c>
      <c r="K34" s="111">
        <v>2159736</v>
      </c>
      <c r="L34" s="111">
        <v>1737503</v>
      </c>
      <c r="M34" s="111">
        <v>1810865</v>
      </c>
      <c r="N34" s="111"/>
      <c r="O34" s="111"/>
      <c r="P34" s="43">
        <f t="shared" si="6"/>
        <v>69088559.99000001</v>
      </c>
      <c r="Q34" s="111">
        <v>0</v>
      </c>
      <c r="R34" s="121">
        <v>49611329</v>
      </c>
      <c r="S34" s="111">
        <v>13769126.99</v>
      </c>
      <c r="T34" s="111">
        <v>0</v>
      </c>
      <c r="U34" s="111">
        <v>0</v>
      </c>
      <c r="V34" s="111">
        <v>0</v>
      </c>
      <c r="W34" s="111">
        <v>0</v>
      </c>
      <c r="X34" s="111">
        <v>2159736</v>
      </c>
      <c r="Y34" s="111">
        <v>1242684</v>
      </c>
      <c r="Z34" s="111">
        <v>1868930</v>
      </c>
      <c r="AA34" s="100"/>
      <c r="AB34" s="111"/>
      <c r="AC34" s="43">
        <f t="shared" si="7"/>
        <v>68651805.99000001</v>
      </c>
    </row>
    <row r="35" spans="1:29" s="10" customFormat="1" ht="13.5" thickBot="1">
      <c r="A35" s="83" t="s">
        <v>143</v>
      </c>
      <c r="B35" s="13" t="s">
        <v>157</v>
      </c>
      <c r="C35" s="49">
        <v>85528972.83</v>
      </c>
      <c r="D35" s="111">
        <v>0</v>
      </c>
      <c r="E35" s="111">
        <v>36260862</v>
      </c>
      <c r="F35" s="111">
        <v>41064834.83</v>
      </c>
      <c r="G35" s="111">
        <v>0</v>
      </c>
      <c r="H35" s="111">
        <v>0</v>
      </c>
      <c r="I35" s="111">
        <v>0</v>
      </c>
      <c r="J35" s="111">
        <v>0</v>
      </c>
      <c r="K35" s="111">
        <v>1038888</v>
      </c>
      <c r="L35" s="111">
        <v>835781</v>
      </c>
      <c r="M35" s="111">
        <v>871150</v>
      </c>
      <c r="N35" s="111"/>
      <c r="O35" s="111"/>
      <c r="P35" s="50">
        <f t="shared" si="6"/>
        <v>80071515.83</v>
      </c>
      <c r="Q35" s="111">
        <v>0</v>
      </c>
      <c r="R35" s="121">
        <v>36260862</v>
      </c>
      <c r="S35" s="111">
        <v>41064834.83</v>
      </c>
      <c r="T35" s="111">
        <v>0</v>
      </c>
      <c r="U35" s="111">
        <v>0</v>
      </c>
      <c r="V35" s="111">
        <v>0</v>
      </c>
      <c r="W35" s="111">
        <v>0</v>
      </c>
      <c r="X35" s="111">
        <v>1038888</v>
      </c>
      <c r="Y35" s="111">
        <v>597761</v>
      </c>
      <c r="Z35" s="111">
        <v>899084</v>
      </c>
      <c r="AA35" s="100"/>
      <c r="AB35" s="111"/>
      <c r="AC35" s="43">
        <f t="shared" si="7"/>
        <v>79861429.83</v>
      </c>
    </row>
    <row r="36" spans="1:29" s="11" customFormat="1" ht="13.5" thickBot="1">
      <c r="A36" s="143" t="s">
        <v>33</v>
      </c>
      <c r="B36" s="144"/>
      <c r="C36" s="47">
        <f>SUM(C14+C23)</f>
        <v>1255516149.9999998</v>
      </c>
      <c r="D36" s="47">
        <f>SUM(D14+D23)</f>
        <v>0</v>
      </c>
      <c r="E36" s="47">
        <f aca="true" t="shared" si="8" ref="E36:O36">SUM(E15+E17+E19+E23)</f>
        <v>673481790</v>
      </c>
      <c r="F36" s="47">
        <f t="shared" si="8"/>
        <v>276913546</v>
      </c>
      <c r="G36" s="47">
        <f t="shared" si="8"/>
        <v>90679859</v>
      </c>
      <c r="H36" s="47">
        <f t="shared" si="8"/>
        <v>12948494</v>
      </c>
      <c r="I36" s="47">
        <f t="shared" si="8"/>
        <v>34564961</v>
      </c>
      <c r="J36" s="47">
        <f t="shared" si="8"/>
        <v>11888000</v>
      </c>
      <c r="K36" s="47">
        <f t="shared" si="8"/>
        <v>21375484</v>
      </c>
      <c r="L36" s="47">
        <f t="shared" si="8"/>
        <v>18738642</v>
      </c>
      <c r="M36" s="47">
        <f t="shared" si="8"/>
        <v>19196782</v>
      </c>
      <c r="N36" s="47">
        <f t="shared" si="8"/>
        <v>0</v>
      </c>
      <c r="O36" s="47">
        <f t="shared" si="8"/>
        <v>0</v>
      </c>
      <c r="P36" s="47">
        <f>SUM(P14+P23)</f>
        <v>1159787558</v>
      </c>
      <c r="Q36" s="47">
        <f>SUM(Q14+Q23)</f>
        <v>0</v>
      </c>
      <c r="R36" s="47">
        <f aca="true" t="shared" si="9" ref="R36:AB36">SUM(R15+R17+R19+R23)</f>
        <v>594475532</v>
      </c>
      <c r="S36" s="47">
        <f t="shared" si="9"/>
        <v>350540671.99999994</v>
      </c>
      <c r="T36" s="47">
        <f t="shared" si="9"/>
        <v>5379132</v>
      </c>
      <c r="U36" s="47">
        <f t="shared" si="9"/>
        <v>100590853</v>
      </c>
      <c r="V36" s="47">
        <f t="shared" si="9"/>
        <v>27370900</v>
      </c>
      <c r="W36" s="47">
        <f t="shared" si="9"/>
        <v>22119561</v>
      </c>
      <c r="X36" s="47">
        <f t="shared" si="9"/>
        <v>21375484</v>
      </c>
      <c r="Y36" s="47">
        <f t="shared" si="9"/>
        <v>15648518</v>
      </c>
      <c r="Z36" s="47">
        <f t="shared" si="9"/>
        <v>19559398</v>
      </c>
      <c r="AA36" s="47">
        <f t="shared" si="9"/>
        <v>0</v>
      </c>
      <c r="AB36" s="47">
        <f t="shared" si="9"/>
        <v>0</v>
      </c>
      <c r="AC36" s="47">
        <f>SUM(AC14+AC23)</f>
        <v>1157060050</v>
      </c>
    </row>
    <row r="37" spans="1:29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0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0"/>
      <c r="B41" s="102" t="s">
        <v>164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4"/>
      <c r="Y42" s="4"/>
      <c r="Z42" s="4"/>
      <c r="AA42" s="4"/>
      <c r="AB42" s="4"/>
      <c r="AC42" s="5"/>
    </row>
    <row r="43" spans="1:29" ht="14.25">
      <c r="A43" s="97"/>
      <c r="B43" s="98"/>
      <c r="C43" s="8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6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9"/>
    </row>
    <row r="46" spans="1:29" ht="21" customHeight="1" thickBo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2"/>
    </row>
    <row r="47" spans="1:29" ht="10.5" customHeight="1" thickBot="1">
      <c r="A47" s="9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95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6"/>
    </row>
    <row r="49" spans="1:29" ht="0.75" customHeight="1" thickBot="1">
      <c r="A49" s="4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</row>
    <row r="50" spans="1:2" ht="12.75">
      <c r="A50" s="4"/>
      <c r="B50" s="4"/>
    </row>
    <row r="53" ht="12.75">
      <c r="P53" s="10"/>
    </row>
  </sheetData>
  <sheetProtection/>
  <mergeCells count="11">
    <mergeCell ref="A45:AC46"/>
    <mergeCell ref="A5:AC5"/>
    <mergeCell ref="A7:B7"/>
    <mergeCell ref="A8:B8"/>
    <mergeCell ref="A36:B36"/>
    <mergeCell ref="A4:AC4"/>
    <mergeCell ref="A1:AC1"/>
    <mergeCell ref="A2:AC2"/>
    <mergeCell ref="A3:AC3"/>
    <mergeCell ref="K42:W42"/>
    <mergeCell ref="D43:AC4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2011-11-16T22:25:23Z</cp:lastPrinted>
  <dcterms:created xsi:type="dcterms:W3CDTF">1999-04-05T19:37:02Z</dcterms:created>
  <dcterms:modified xsi:type="dcterms:W3CDTF">2011-11-17T17:26:01Z</dcterms:modified>
  <cp:category/>
  <cp:version/>
  <cp:contentType/>
  <cp:contentStatus/>
</cp:coreProperties>
</file>