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" sheetId="1" r:id="rId1"/>
    <sheet name="Gastos Dane " sheetId="2" r:id="rId2"/>
    <sheet name="RESERVAS Dane" sheetId="3" r:id="rId3"/>
    <sheet name="CXP Dane " sheetId="4" r:id="rId4"/>
    <sheet name="Gastos Fond" sheetId="5" r:id="rId5"/>
    <sheet name="RESER FOND" sheetId="6" r:id="rId6"/>
    <sheet name="CXP FOND" sheetId="7" r:id="rId7"/>
  </sheets>
  <definedNames>
    <definedName name="_xlnm.Print_Area" localSheetId="3">'CXP Dane '!$A$1:$P$55</definedName>
    <definedName name="_xlnm.Print_Area" localSheetId="6">'CXP FOND'!$A$1:$P$37</definedName>
    <definedName name="_xlnm.Print_Area" localSheetId="1">'Gastos Dane '!$A$1:$AP$89</definedName>
    <definedName name="_xlnm.Print_Area" localSheetId="4">'Gastos Fond'!$A$1:$AP$52</definedName>
    <definedName name="_xlnm.Print_Area" localSheetId="5">'RESER FOND'!$A$1:$AC$37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<sst xmlns="http://schemas.openxmlformats.org/spreadsheetml/2006/main" count="961" uniqueCount="302">
  <si>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</si>
  <si>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</si>
  <si>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</si>
  <si>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</si>
  <si>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</si>
  <si>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</si>
  <si>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</si>
  <si>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</si>
  <si>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</si>
  <si>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</si>
  <si>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</si>
  <si>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</si>
  <si>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</si>
  <si>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</si>
  <si>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</si>
  <si>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</si>
  <si>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</si>
  <si>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</si>
  <si>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</si>
  <si>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</si>
  <si>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</si>
  <si>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</si>
  <si>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</si>
  <si>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</si>
  <si>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</si>
  <si>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</si>
  <si>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</si>
  <si>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</si>
  <si>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</si>
  <si>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</si>
  <si>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</si>
  <si>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</si>
  <si>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</si>
  <si>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</si>
  <si>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</si>
  <si>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</si>
  <si>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</si>
  <si>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</si>
  <si>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</si>
  <si>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</si>
  <si>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</si>
  <si>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</si>
  <si>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</si>
  <si>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</si>
  <si>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</si>
  <si>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</si>
  <si>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</si>
  <si>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</si>
  <si>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</si>
  <si>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</si>
  <si>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</si>
  <si>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</si>
  <si>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</si>
  <si>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</si>
  <si>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</si>
  <si>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</si>
  <si>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</si>
  <si>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</si>
  <si>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DEPARTAMENTO ADMINISTRATIVO NACIONAL DE ESTADISTICA - DANE</t>
  </si>
  <si>
    <t>04|01</t>
  </si>
  <si>
    <t>A|2|0|1|0|20</t>
  </si>
  <si>
    <t>ADQUISICIONES DE BIENES</t>
  </si>
  <si>
    <t>ADQUISICION DE SERVICIOS</t>
  </si>
  <si>
    <t>A|2|0|2|0|21</t>
  </si>
  <si>
    <t>A|2|0|3|0|20</t>
  </si>
  <si>
    <t>IMPUESTOS Y MULTAS</t>
  </si>
  <si>
    <t>A|3|2|1|1|10</t>
  </si>
  <si>
    <t>A|3|2|1|1|20</t>
  </si>
  <si>
    <t>ACT. ESTUD. Y ENCUEST. PROPOSITOS MULTIPLES</t>
  </si>
  <si>
    <t>LEV. DE INFORM.PARA ESTADISTICAS DEMOGRAFICAS</t>
  </si>
  <si>
    <t>LEV. DE LA ENC. PARA INDICES, PRECIOS Y COSTOS</t>
  </si>
  <si>
    <t>A|1|0|1|2|10</t>
  </si>
  <si>
    <t>HORAS EXTRAS Y DIAS FESTIVOS</t>
  </si>
  <si>
    <t>A|1|0|3|0|10</t>
  </si>
  <si>
    <t>CONT. INHERENTES A LA NOMINA SECTOR PRIVADO</t>
  </si>
  <si>
    <t>A|1|0|4|0|10</t>
  </si>
  <si>
    <t>CONT. INHERENTES A LA NOMINA SECTOR PUBLICO</t>
  </si>
  <si>
    <t>A|2|0|1|0|10</t>
  </si>
  <si>
    <t>ADQUISICION DE BIENES</t>
  </si>
  <si>
    <t>A|2|0|2|0|10</t>
  </si>
  <si>
    <t>A|1|0|2|8|10</t>
  </si>
  <si>
    <t>GASTOS DE FUNCIONAMIENTO R. P.</t>
  </si>
  <si>
    <t>GASTOS DE INVERSION R. P.</t>
  </si>
  <si>
    <t>GASTOS DE INVERSION A.P.N.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</si>
  <si>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</si>
  <si>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</si>
  <si>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</si>
  <si>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</si>
  <si>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</si>
  <si>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</si>
  <si>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</si>
  <si>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</si>
  <si>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</si>
  <si>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</si>
  <si>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</si>
  <si>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</si>
  <si>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</si>
  <si>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</si>
  <si>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</si>
  <si>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</si>
  <si>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</si>
  <si>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</si>
  <si>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saldo apropiac</t>
  </si>
  <si>
    <t>saldo de aprop.</t>
  </si>
  <si>
    <t>reservas</t>
  </si>
  <si>
    <t>cuentasxpagar</t>
  </si>
  <si>
    <t>TRANSFERENCIAS</t>
  </si>
  <si>
    <t>C|310|1000|1|20</t>
  </si>
  <si>
    <t>RENDIMIENTOS  FINANCIEROS  1|3|2|3|0</t>
  </si>
  <si>
    <t>BIENES Y SERVICIOS                 1|3|1|2|1</t>
  </si>
  <si>
    <t>OTROS INGRESOS                     1|3|1|2|8</t>
  </si>
  <si>
    <t>GASTOS DE FUNCIONAMIENTO</t>
  </si>
  <si>
    <t xml:space="preserve">MES 4 </t>
  </si>
  <si>
    <t>CUOTA DE AUDITAJE CONTRANAL</t>
  </si>
  <si>
    <t>CUOTA DE AUDITAJE - CONTRALORIA - RP</t>
  </si>
  <si>
    <t>TRANSFERENCIAS CORRIENTES</t>
  </si>
  <si>
    <t xml:space="preserve">                       </t>
  </si>
  <si>
    <t>A|3|6|1|2|10</t>
  </si>
  <si>
    <t>CONCILIACION</t>
  </si>
  <si>
    <t>C|430|1000|1|11</t>
  </si>
  <si>
    <t>C|430|1000|2|11</t>
  </si>
  <si>
    <t>C|440|1000|3|11</t>
  </si>
  <si>
    <t>CONSTRUCCION NUEVA BASE DE CUENTAS NACIONALES</t>
  </si>
  <si>
    <t>C|440|1000|6|11</t>
  </si>
  <si>
    <t>IMPLANTACION DE UN SISTEMA ESTADISTICO NACIONAL- SEN</t>
  </si>
  <si>
    <t xml:space="preserve">                          </t>
  </si>
  <si>
    <t>saldo RESERVAS</t>
  </si>
  <si>
    <t>SENTENCIAS</t>
  </si>
  <si>
    <t>A|3|6|1|1|10</t>
  </si>
  <si>
    <t>TOTAL</t>
  </si>
  <si>
    <t>DEFINITIVAS</t>
  </si>
  <si>
    <t>CXP</t>
  </si>
  <si>
    <t>C|410|200|1|11</t>
  </si>
  <si>
    <t>C|430|1000|3|11</t>
  </si>
  <si>
    <t>C|430|1300|1|11</t>
  </si>
  <si>
    <t>LEV.DE LA ENCUESTA CONTINUA DE HOGARES</t>
  </si>
  <si>
    <t xml:space="preserve">COORDINADOR DE PRESUPUESTO </t>
  </si>
  <si>
    <t>C|430|1000|14|11</t>
  </si>
  <si>
    <t>SUMINISTRO PUBLICACION INFORMACION ESTADISTICA</t>
  </si>
  <si>
    <t>MANTENIMIENTO ADECUACION SISTEMA COMPUTACIONAL</t>
  </si>
  <si>
    <t>C|410|200|2|11</t>
  </si>
  <si>
    <t>LEV. DE INV.PARA EL SEGUIM. DE LA ACTIV. DE CIO. Y DE SEVICIOS.</t>
  </si>
  <si>
    <t>C|430|1000|13|11</t>
  </si>
  <si>
    <t>ACTUALIZACION Y MANTEN SIST INFOR GEOESTADISTICA REPUBLICA COL.</t>
  </si>
  <si>
    <t>LEV. DE INVESTIG.PARA EL SEGUIM. DE LA ACTIV. IND Y DE LA CONS.</t>
  </si>
  <si>
    <t>C|440|1000|14|11</t>
  </si>
  <si>
    <t>ACTUALIZACION COYUNTURA ECONOMICA Y CUENTAS</t>
  </si>
  <si>
    <t>ACTUALIZACION DE INDICADORES SOCIALES DE POBREZA</t>
  </si>
  <si>
    <t>C|221|1000|1|11</t>
  </si>
  <si>
    <t>C|222|1000|1|11</t>
  </si>
  <si>
    <t>A|2|0|1|0|21</t>
  </si>
  <si>
    <t>A|1|0|1|3|10</t>
  </si>
  <si>
    <t>INDEMNIZACION POR VACACIONES</t>
  </si>
  <si>
    <t xml:space="preserve">COORDINADOR AREA FINANCIERA </t>
  </si>
  <si>
    <t>MES 09</t>
  </si>
  <si>
    <t xml:space="preserve">LEVANTAMIENTO DEL CENSO GENERAL NACIONAL </t>
  </si>
  <si>
    <t>C|410|1000|10|13</t>
  </si>
  <si>
    <t>C|410|1000|3|11</t>
  </si>
  <si>
    <t>LVANTAMIENTO DE INFORM ESTD SOBRE DISCAPACIDAD</t>
  </si>
  <si>
    <t>ANALISIS Y EVALUACION DEMOGRAFICA Y PROY DE POBLACION</t>
  </si>
  <si>
    <t>C|430|1000|15|11</t>
  </si>
  <si>
    <t>LEV MONTAJE Y OPERACIÓNES DE LOS SISTEMAS DE INF AGROP NACIONAL</t>
  </si>
  <si>
    <t>C|430|1000|16|11</t>
  </si>
  <si>
    <t>EST FACTORES DE RIESGO SOCIAL, INDIV Y FLIAR QUE PROP EXPLOTA SEXUAL</t>
  </si>
  <si>
    <t>C|430|1000|4|11</t>
  </si>
  <si>
    <t>LEV ENC NACIONAL DE ENCUESTA NAC URBANO RURAL INGRESOS Y GASTOS</t>
  </si>
  <si>
    <t>C|440|1000|18|11</t>
  </si>
  <si>
    <t>CONSTRUCCION CUENTAS DEPARTAMENTALES</t>
  </si>
  <si>
    <t>DISEÑO SUMINISTRO SEGUM Y EVAL METOD DE ESTRATIFI SOCIOECONOM</t>
  </si>
  <si>
    <t>C|410|1000|12|20</t>
  </si>
  <si>
    <t>C|540|1000|3|19</t>
  </si>
  <si>
    <t>MEJORAMIENTO DE LAS ENCUESTAS DE HOGARES Y MEDICION DE LAS CONDI</t>
  </si>
  <si>
    <t>A|3|6|1|2|21</t>
  </si>
  <si>
    <t>CONCILIACIONES</t>
  </si>
  <si>
    <t>C|510|1000|1|11</t>
  </si>
  <si>
    <t>COORDINADOR AREA FINANCIERA</t>
  </si>
  <si>
    <t xml:space="preserve">COORDINADOR AREA  FINANCIERA </t>
  </si>
  <si>
    <t xml:space="preserve">COORDINADOR  AREA  FINANCIERA </t>
  </si>
  <si>
    <t>ADQUISICIONES DE BIENES Y SERVICIOS</t>
  </si>
  <si>
    <t>A|2|0|4|0|20</t>
  </si>
  <si>
    <t>C|310|1000|1|21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</si>
  <si>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</si>
  <si>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</si>
  <si>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</si>
  <si>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</si>
  <si>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</si>
  <si>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</si>
  <si>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</si>
  <si>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</si>
  <si>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</si>
  <si>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</si>
  <si>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</si>
  <si>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</si>
  <si>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</si>
  <si>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</si>
  <si>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</si>
  <si>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</si>
  <si>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</si>
  <si>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</si>
  <si>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</si>
  <si>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</si>
  <si>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</si>
  <si>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</si>
  <si>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</si>
  <si>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</si>
  <si>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</si>
  <si>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</si>
  <si>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</si>
  <si>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</si>
  <si>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</si>
  <si>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</si>
  <si>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</si>
  <si>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</si>
  <si>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</si>
  <si>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</si>
  <si>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</si>
  <si>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</si>
  <si>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</si>
  <si>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</si>
  <si>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</si>
  <si>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</si>
  <si>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</si>
  <si>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</si>
  <si>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</si>
  <si>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</si>
  <si>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</si>
  <si>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</si>
  <si>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</si>
  <si>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</si>
  <si>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</si>
  <si>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</si>
  <si>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</si>
  <si>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</si>
  <si>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</si>
  <si>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</si>
  <si>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</si>
  <si>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CAPACITACION, BIENESTAR SOCIAL Y ESTIMULOS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</si>
  <si>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</si>
  <si>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</si>
  <si>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</si>
  <si>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</si>
  <si>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</si>
  <si>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</si>
  <si>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</si>
  <si>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</si>
  <si>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A|2|0|4|4|10</t>
  </si>
  <si>
    <t>A|2|0|4|5|10</t>
  </si>
  <si>
    <t>A|2|0|4|6|10</t>
  </si>
  <si>
    <t>A|2|0|4|7|10</t>
  </si>
  <si>
    <t>A|2|0|4|8|10</t>
  </si>
  <si>
    <t>A|2|0|4|9|10</t>
  </si>
  <si>
    <t>SENTENCIAS Y CONCILIACION</t>
  </si>
  <si>
    <t>IMPLANTACION PLAN MAESTRO DE INFORM BASICA PREVIO CONCEPT DNP</t>
  </si>
  <si>
    <t>LEV. DE UNA ENC MIXTA A PEQU UNIDADES ECONOMICAS</t>
  </si>
  <si>
    <t>ASISTENC TECN Y COOP INTERN PARA EL MEJOR DE LA INF ESTAD</t>
  </si>
  <si>
    <t>C|510|1000|2|11</t>
  </si>
  <si>
    <t>C|430|1300|2|11</t>
  </si>
  <si>
    <t>C|430|1000|17|11</t>
  </si>
  <si>
    <t>COMUNICACIONES Y TRANSPORTE</t>
  </si>
  <si>
    <t>IMPRESOS Y  PUBLICACIONES</t>
  </si>
  <si>
    <t>GASTOS IMPREVISTOS</t>
  </si>
  <si>
    <t>A|2|0|4|4|20</t>
  </si>
  <si>
    <t>A|2|0|4|5|20</t>
  </si>
  <si>
    <t>A|2|0|4|6|20</t>
  </si>
  <si>
    <t>A|2|0|4|7|20</t>
  </si>
  <si>
    <t>A|2|0|4|8|20</t>
  </si>
  <si>
    <t>A|2|0|4|9|20</t>
  </si>
  <si>
    <t>A|2|0|4|17|20</t>
  </si>
  <si>
    <t>A|2|0|3|50|20</t>
  </si>
  <si>
    <t>IMPUESTOS Y CONTRIBUCIONES</t>
  </si>
  <si>
    <t>saldo</t>
  </si>
  <si>
    <t xml:space="preserve">saldo </t>
  </si>
  <si>
    <t>C|410|1000|10|18</t>
  </si>
  <si>
    <t>A|2|0|4|10|20</t>
  </si>
  <si>
    <t xml:space="preserve"> EXCEDENTES  FINANCIEROS </t>
  </si>
  <si>
    <t>Elaboró :O.L.A.G.</t>
  </si>
  <si>
    <t>Elaboró : O.LA.G.</t>
  </si>
  <si>
    <t>Elaboró : O.L.A.G.</t>
  </si>
  <si>
    <t xml:space="preserve">Preparó :O.L.A.G. </t>
  </si>
  <si>
    <t xml:space="preserve">Preparó : O.L.A.G. </t>
  </si>
  <si>
    <t>A|2|0|4|1|20</t>
  </si>
  <si>
    <t>ENSERES Y EQUIPOS DE OFICINA</t>
  </si>
  <si>
    <t>COORDINADOR PRESUPUESTO</t>
  </si>
  <si>
    <t>A|2|0|4|1|10</t>
  </si>
  <si>
    <t>COMPRA DE EQUIPO</t>
  </si>
  <si>
    <t>ENSERES Y EQUIPO DE OFICINA</t>
  </si>
  <si>
    <t>A|2|0|4|21|11</t>
  </si>
  <si>
    <t>A|2|0|4|2|10</t>
  </si>
  <si>
    <t>A DICIEMBRE</t>
  </si>
  <si>
    <t>COMPRA EQUIPÓ</t>
  </si>
  <si>
    <t>A|2|0|4|2|20</t>
  </si>
  <si>
    <t>A  DICIEMBRE</t>
  </si>
  <si>
    <t>;SERVICIOS PUBLICOS $4,164,549,06; ARRENDAMIENTOS $88,333; MEDIANTE RESOL N°025 DE NOV 27/06.</t>
  </si>
  <si>
    <t xml:space="preserve">SE REALIZO UN TRASLADO PRESUPUESTAL DE MATERIALES Y SUMIN $3,032,496,56; MANTENIMIENTO $8,876,637,72; COMUNICACIÓN Y TRANSP $2,338,652,80; IMPRESOS Y PUBL $151,474,72; SERVICIOS PUBLICOS $28,000,000; GASTOS IMPREVISTOS $798,467; </t>
  </si>
  <si>
    <t>A COMPRA EQUIPO $42,399,261,80; MEDIANTE RESOL N° 33 DEL 19 DIC/06.</t>
  </si>
  <si>
    <t>NOTA: SE ESTAN CANCELANDO RESERVAS POR VALOR DE $4,14 EN INVERSION MEDIANTE ACTA N° 5 DE DIC29/06,</t>
  </si>
  <si>
    <t>NOTA:SE CANCELARON RESERVAS EN INVERSION POR VALOR DE $125,814,483,26, MEDIANTE ACTA N°6 DE FECHA 29 DE DICIEMBRE DE 2006,</t>
  </si>
  <si>
    <t>A|1|0|2|14|20</t>
  </si>
  <si>
    <t>NOTA: SE REALIZO UNA ADICION PRESUPUESTAL EN GASTOS DE PERSONAL POR VALOR DE $742,000,000; ASI; SUELDOS $415,000,000; PRIMA TECNICA $4,760,060;OTROS $224,610,000;CONTRIBUCION PRIVADO Y PUBLICO $97,629,940; MEDIANTE RESOL N°706 DEL 24 NOV/06.</t>
  </si>
  <si>
    <t>SE REALIZO UN TRASLADP PRESUPUESTAL EN GASTOS DE PERSONAL DE INCAPACIDAD Y LICENCIA DE MATERNIDAD $30,000,000; OTROS $14,196,136; RECARGO NOCTURNO Y FESTIVOS $652,307; CONTRIBUCION PRIVADO Y PUBLICO $4,000,000; A SUELDOS DE VACACIONES $30,000,000; OTROS $14,196,136;</t>
  </si>
  <si>
    <t>HORAS EXTRAS $373,223; INDEMNIZACION POR VACACIONES $279,084;CONTRIBUCION PUBLICO $4,000,000; MEDIANTE RESOL N°748 DEL 14 DIC/06.</t>
  </si>
  <si>
    <t>NOTA: SE REALIZO UN TRASLADO PRESUPUESTAL DE MANTENIMIENTO $4,580,853,29; COMUNICACIÓN Y TRANSP $1,614,921,48; IMPRESOS Y PUBL $1,000,512,62; ; GASTOS IMPREVISTOS $798,467; A ENSERES Y EQUIPOS $2,487,562; MATERIALES Y SUMIN $1,254,310,33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</si>
</sst>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medium"/>
      <right style="thin"/>
      <top style="dashed"/>
      <bottom style="dott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14" fontId="1" fillId="0" borderId="2" xfId="0" applyNumberFormat="1" applyFont="1" applyBorder="1" applyAlignment="1">
      <alignment horizontal="center"/>
    </xf>
    <xf numFmtId="0" fontId="8" fillId="0" borderId="19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" fillId="0" borderId="3" xfId="0" applyFont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0" xfId="0" applyNumberFormat="1" applyFont="1" applyAlignment="1" applyProtection="1">
      <alignment/>
      <protection/>
    </xf>
    <xf numFmtId="14" fontId="8" fillId="0" borderId="1" xfId="0" applyNumberFormat="1" applyFont="1" applyBorder="1" applyAlignment="1">
      <alignment horizontal="left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0" fontId="1" fillId="0" borderId="32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3" xfId="0" applyNumberFormat="1" applyFont="1" applyBorder="1" applyAlignment="1" applyProtection="1">
      <alignment/>
      <protection locked="0"/>
    </xf>
    <xf numFmtId="40" fontId="2" fillId="0" borderId="14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3" fillId="2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Border="1" applyAlignment="1">
      <alignment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36" xfId="0" applyNumberFormat="1" applyFont="1" applyBorder="1" applyAlignment="1" applyProtection="1">
      <alignment horizontal="right"/>
      <protection locked="0"/>
    </xf>
    <xf numFmtId="4" fontId="0" fillId="0" borderId="37" xfId="0" applyNumberFormat="1" applyFont="1" applyBorder="1" applyAlignment="1" applyProtection="1">
      <alignment horizontal="right"/>
      <protection locked="0"/>
    </xf>
    <xf numFmtId="4" fontId="0" fillId="0" borderId="36" xfId="0" applyNumberFormat="1" applyFont="1" applyFill="1" applyBorder="1" applyAlignment="1" applyProtection="1">
      <alignment horizontal="right"/>
      <protection/>
    </xf>
    <xf numFmtId="40" fontId="0" fillId="0" borderId="36" xfId="0" applyNumberFormat="1" applyFont="1" applyBorder="1" applyAlignment="1" applyProtection="1">
      <alignment horizontal="right"/>
      <protection locked="0"/>
    </xf>
    <xf numFmtId="4" fontId="0" fillId="0" borderId="38" xfId="0" applyNumberFormat="1" applyFont="1" applyBorder="1" applyAlignment="1" applyProtection="1">
      <alignment horizontal="right"/>
      <protection locked="0"/>
    </xf>
    <xf numFmtId="4" fontId="1" fillId="0" borderId="31" xfId="0" applyNumberFormat="1" applyFont="1" applyBorder="1" applyAlignment="1">
      <alignment horizontal="right"/>
    </xf>
    <xf numFmtId="4" fontId="0" fillId="0" borderId="39" xfId="0" applyNumberFormat="1" applyFont="1" applyBorder="1" applyAlignment="1" applyProtection="1">
      <alignment horizontal="center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4" fillId="2" borderId="41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170" fontId="14" fillId="2" borderId="42" xfId="19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4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0" fontId="0" fillId="0" borderId="21" xfId="0" applyNumberFormat="1" applyFont="1" applyBorder="1" applyAlignment="1" applyProtection="1">
      <alignment horizontal="right"/>
      <protection locked="0"/>
    </xf>
    <xf numFmtId="40" fontId="0" fillId="0" borderId="19" xfId="0" applyNumberFormat="1" applyFont="1" applyBorder="1" applyAlignment="1" applyProtection="1">
      <alignment horizontal="right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0" fillId="0" borderId="12" xfId="0" applyNumberFormat="1" applyFont="1" applyBorder="1" applyAlignment="1" applyProtection="1">
      <alignment horizontal="right"/>
      <protection locked="0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4" fontId="8" fillId="0" borderId="47" xfId="0" applyNumberFormat="1" applyFont="1" applyBorder="1" applyAlignment="1">
      <alignment/>
    </xf>
    <xf numFmtId="4" fontId="2" fillId="0" borderId="35" xfId="0" applyNumberFormat="1" applyFont="1" applyBorder="1" applyAlignment="1">
      <alignment horizontal="right"/>
    </xf>
    <xf numFmtId="38" fontId="0" fillId="0" borderId="9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2" fillId="0" borderId="27" xfId="0" applyNumberFormat="1" applyFont="1" applyBorder="1" applyAlignment="1">
      <alignment horizontal="right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4" fontId="0" fillId="0" borderId="27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34" xfId="0" applyNumberFormat="1" applyFont="1" applyBorder="1" applyAlignment="1" applyProtection="1">
      <alignment horizontal="center"/>
      <protection locked="0"/>
    </xf>
    <xf numFmtId="4" fontId="8" fillId="0" borderId="45" xfId="0" applyNumberFormat="1" applyFont="1" applyBorder="1" applyAlignment="1" applyProtection="1">
      <alignment horizontal="center"/>
      <protection locked="0"/>
    </xf>
    <xf numFmtId="4" fontId="8" fillId="0" borderId="48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49" xfId="0" applyNumberFormat="1" applyFont="1" applyBorder="1" applyAlignment="1" applyProtection="1">
      <alignment horizontal="right"/>
      <protection locked="0"/>
    </xf>
    <xf numFmtId="4" fontId="1" fillId="0" borderId="49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0" fontId="2" fillId="0" borderId="12" xfId="0" applyNumberFormat="1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189" fontId="9" fillId="0" borderId="12" xfId="0" applyNumberFormat="1" applyFont="1" applyBorder="1" applyAlignment="1" applyProtection="1">
      <alignment horizontal="right"/>
      <protection locked="0"/>
    </xf>
    <xf numFmtId="189" fontId="2" fillId="0" borderId="14" xfId="0" applyNumberFormat="1" applyFont="1" applyBorder="1" applyAlignment="1">
      <alignment horizontal="right"/>
    </xf>
    <xf numFmtId="189" fontId="0" fillId="0" borderId="9" xfId="0" applyNumberFormat="1" applyFont="1" applyBorder="1" applyAlignment="1" applyProtection="1">
      <alignment horizontal="right"/>
      <protection locked="0"/>
    </xf>
    <xf numFmtId="189" fontId="0" fillId="0" borderId="21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50" xfId="0" applyNumberFormat="1" applyFont="1" applyBorder="1" applyAlignment="1" applyProtection="1">
      <alignment horizontal="right"/>
      <protection locked="0"/>
    </xf>
    <xf numFmtId="189" fontId="9" fillId="0" borderId="21" xfId="0" applyNumberFormat="1" applyFont="1" applyBorder="1" applyAlignment="1" applyProtection="1">
      <alignment horizontal="right"/>
      <protection locked="0"/>
    </xf>
    <xf numFmtId="189" fontId="2" fillId="0" borderId="9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/>
    </xf>
    <xf numFmtId="0" fontId="3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A5">
      <selection activeCell="C13" sqref="C13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5.28125" style="1" hidden="1" customWidth="1"/>
    <col min="9" max="11" width="15.8515625" style="1" hidden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39" width="19.421875" style="1" hidden="1" customWidth="1"/>
    <col min="40" max="40" width="19.421875" style="1" customWidth="1"/>
    <col min="41" max="41" width="16.00390625" style="1" customWidth="1"/>
    <col min="42" max="42" width="15.8515625" style="1" customWidth="1"/>
    <col min="43" max="43" width="11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7109375" style="1" customWidth="1"/>
    <col min="57" max="16384" width="11.421875" style="1" customWidth="1"/>
  </cols>
  <sheetData>
    <row r="1" spans="1:56" ht="18">
      <c r="A1" s="256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7"/>
    </row>
    <row r="2" spans="1:56" ht="15.7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60"/>
    </row>
    <row r="3" spans="1:56" ht="18">
      <c r="A3" s="261" t="s">
        <v>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3"/>
    </row>
    <row r="4" spans="1:56" ht="20.25">
      <c r="A4" s="264" t="s">
        <v>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6"/>
    </row>
    <row r="5" spans="1:56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9"/>
    </row>
    <row r="6" spans="1:56" ht="12.75">
      <c r="A6" s="254" t="s">
        <v>4</v>
      </c>
      <c r="B6" s="255"/>
      <c r="C6" s="6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60" t="s">
        <v>6</v>
      </c>
      <c r="R6" s="60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66" t="s">
        <v>8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157" t="s">
        <v>288</v>
      </c>
      <c r="BD6" s="59"/>
    </row>
    <row r="7" spans="1:56" ht="12.75">
      <c r="A7" s="254" t="s">
        <v>5</v>
      </c>
      <c r="B7" s="255"/>
      <c r="C7" s="65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60" t="s">
        <v>7</v>
      </c>
      <c r="R7" s="60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66" t="s">
        <v>9</v>
      </c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65">
        <v>2006</v>
      </c>
      <c r="BD7" s="59"/>
    </row>
    <row r="8" spans="1:56" ht="13.5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3"/>
    </row>
    <row r="9" spans="1:56" ht="12.75">
      <c r="A9" s="170" t="s">
        <v>101</v>
      </c>
      <c r="B9" s="162"/>
      <c r="C9" s="163" t="s">
        <v>88</v>
      </c>
      <c r="D9" s="162" t="s">
        <v>86</v>
      </c>
      <c r="E9" s="162" t="s">
        <v>86</v>
      </c>
      <c r="F9" s="162" t="s">
        <v>86</v>
      </c>
      <c r="G9" s="162" t="s">
        <v>86</v>
      </c>
      <c r="H9" s="162" t="s">
        <v>86</v>
      </c>
      <c r="I9" s="162" t="s">
        <v>86</v>
      </c>
      <c r="J9" s="162" t="s">
        <v>86</v>
      </c>
      <c r="K9" s="162" t="s">
        <v>86</v>
      </c>
      <c r="L9" s="162" t="s">
        <v>86</v>
      </c>
      <c r="M9" s="162" t="s">
        <v>86</v>
      </c>
      <c r="N9" s="162" t="s">
        <v>86</v>
      </c>
      <c r="O9" s="162" t="s">
        <v>88</v>
      </c>
      <c r="P9" s="162" t="s">
        <v>86</v>
      </c>
      <c r="Q9" s="162" t="s">
        <v>86</v>
      </c>
      <c r="R9" s="163" t="s">
        <v>90</v>
      </c>
      <c r="S9" s="162" t="s">
        <v>26</v>
      </c>
      <c r="T9" s="162" t="s">
        <v>90</v>
      </c>
      <c r="U9" s="162" t="s">
        <v>26</v>
      </c>
      <c r="V9" s="162" t="s">
        <v>90</v>
      </c>
      <c r="W9" s="162" t="s">
        <v>26</v>
      </c>
      <c r="X9" s="162" t="s">
        <v>90</v>
      </c>
      <c r="Y9" s="162" t="s">
        <v>26</v>
      </c>
      <c r="Z9" s="162" t="s">
        <v>90</v>
      </c>
      <c r="AA9" s="162" t="s">
        <v>26</v>
      </c>
      <c r="AB9" s="162" t="s">
        <v>90</v>
      </c>
      <c r="AC9" s="162" t="s">
        <v>26</v>
      </c>
      <c r="AD9" s="162" t="s">
        <v>90</v>
      </c>
      <c r="AE9" s="162" t="s">
        <v>26</v>
      </c>
      <c r="AF9" s="162" t="s">
        <v>90</v>
      </c>
      <c r="AG9" s="162" t="s">
        <v>26</v>
      </c>
      <c r="AH9" s="163" t="s">
        <v>90</v>
      </c>
      <c r="AI9" s="162" t="s">
        <v>26</v>
      </c>
      <c r="AJ9" s="162" t="s">
        <v>90</v>
      </c>
      <c r="AK9" s="162" t="s">
        <v>26</v>
      </c>
      <c r="AL9" s="162" t="s">
        <v>90</v>
      </c>
      <c r="AM9" s="162" t="s">
        <v>26</v>
      </c>
      <c r="AN9" s="162" t="s">
        <v>90</v>
      </c>
      <c r="AO9" s="162" t="s">
        <v>26</v>
      </c>
      <c r="AP9" s="162" t="s">
        <v>32</v>
      </c>
      <c r="AQ9" s="162" t="s">
        <v>34</v>
      </c>
      <c r="AR9" s="162" t="s">
        <v>34</v>
      </c>
      <c r="AS9" s="162" t="s">
        <v>34</v>
      </c>
      <c r="AT9" s="162" t="s">
        <v>34</v>
      </c>
      <c r="AU9" s="162" t="s">
        <v>34</v>
      </c>
      <c r="AV9" s="162" t="s">
        <v>34</v>
      </c>
      <c r="AW9" s="162" t="s">
        <v>34</v>
      </c>
      <c r="AX9" s="162" t="s">
        <v>34</v>
      </c>
      <c r="AY9" s="162" t="s">
        <v>34</v>
      </c>
      <c r="AZ9" s="162" t="s">
        <v>34</v>
      </c>
      <c r="BA9" s="162" t="s">
        <v>34</v>
      </c>
      <c r="BB9" s="162" t="s">
        <v>34</v>
      </c>
      <c r="BC9" s="162" t="s">
        <v>34</v>
      </c>
      <c r="BD9" s="162" t="s">
        <v>37</v>
      </c>
    </row>
    <row r="10" spans="1:56" ht="12.75">
      <c r="A10" s="171" t="s">
        <v>10</v>
      </c>
      <c r="B10" s="164" t="s">
        <v>11</v>
      </c>
      <c r="C10" s="165" t="s">
        <v>89</v>
      </c>
      <c r="D10" s="164" t="s">
        <v>87</v>
      </c>
      <c r="E10" s="164" t="s">
        <v>87</v>
      </c>
      <c r="F10" s="164" t="s">
        <v>87</v>
      </c>
      <c r="G10" s="164" t="s">
        <v>87</v>
      </c>
      <c r="H10" s="164" t="s">
        <v>87</v>
      </c>
      <c r="I10" s="164" t="s">
        <v>87</v>
      </c>
      <c r="J10" s="164" t="s">
        <v>87</v>
      </c>
      <c r="K10" s="164" t="s">
        <v>87</v>
      </c>
      <c r="L10" s="164" t="s">
        <v>87</v>
      </c>
      <c r="M10" s="164" t="s">
        <v>87</v>
      </c>
      <c r="N10" s="164" t="s">
        <v>87</v>
      </c>
      <c r="O10" s="164" t="s">
        <v>89</v>
      </c>
      <c r="P10" s="164" t="s">
        <v>87</v>
      </c>
      <c r="Q10" s="164" t="s">
        <v>87</v>
      </c>
      <c r="R10" s="165" t="s">
        <v>89</v>
      </c>
      <c r="S10" s="164" t="s">
        <v>27</v>
      </c>
      <c r="T10" s="164" t="s">
        <v>89</v>
      </c>
      <c r="U10" s="164" t="s">
        <v>27</v>
      </c>
      <c r="V10" s="164" t="s">
        <v>89</v>
      </c>
      <c r="W10" s="164" t="s">
        <v>27</v>
      </c>
      <c r="X10" s="164" t="s">
        <v>89</v>
      </c>
      <c r="Y10" s="164" t="s">
        <v>27</v>
      </c>
      <c r="Z10" s="164" t="s">
        <v>89</v>
      </c>
      <c r="AA10" s="164" t="s">
        <v>27</v>
      </c>
      <c r="AB10" s="164" t="s">
        <v>89</v>
      </c>
      <c r="AC10" s="164" t="s">
        <v>27</v>
      </c>
      <c r="AD10" s="166" t="s">
        <v>89</v>
      </c>
      <c r="AE10" s="166" t="s">
        <v>27</v>
      </c>
      <c r="AF10" s="164" t="s">
        <v>89</v>
      </c>
      <c r="AG10" s="164" t="s">
        <v>27</v>
      </c>
      <c r="AH10" s="165" t="s">
        <v>89</v>
      </c>
      <c r="AI10" s="164" t="s">
        <v>27</v>
      </c>
      <c r="AJ10" s="164" t="s">
        <v>89</v>
      </c>
      <c r="AK10" s="164" t="s">
        <v>27</v>
      </c>
      <c r="AL10" s="164" t="s">
        <v>89</v>
      </c>
      <c r="AM10" s="164" t="s">
        <v>27</v>
      </c>
      <c r="AN10" s="164" t="s">
        <v>89</v>
      </c>
      <c r="AO10" s="164" t="s">
        <v>27</v>
      </c>
      <c r="AP10" s="164" t="s">
        <v>27</v>
      </c>
      <c r="AQ10" s="164" t="s">
        <v>35</v>
      </c>
      <c r="AR10" s="164" t="s">
        <v>35</v>
      </c>
      <c r="AS10" s="164" t="s">
        <v>35</v>
      </c>
      <c r="AT10" s="164" t="s">
        <v>35</v>
      </c>
      <c r="AU10" s="164" t="s">
        <v>35</v>
      </c>
      <c r="AV10" s="164" t="s">
        <v>35</v>
      </c>
      <c r="AW10" s="164" t="s">
        <v>35</v>
      </c>
      <c r="AX10" s="164" t="s">
        <v>35</v>
      </c>
      <c r="AY10" s="164" t="s">
        <v>35</v>
      </c>
      <c r="AZ10" s="164" t="s">
        <v>35</v>
      </c>
      <c r="BA10" s="164" t="s">
        <v>35</v>
      </c>
      <c r="BB10" s="164" t="s">
        <v>35</v>
      </c>
      <c r="BC10" s="164" t="s">
        <v>36</v>
      </c>
      <c r="BD10" s="164" t="s">
        <v>38</v>
      </c>
    </row>
    <row r="11" spans="1:56" ht="13.5" thickBot="1">
      <c r="A11" s="172"/>
      <c r="B11" s="167" t="s">
        <v>12</v>
      </c>
      <c r="C11" s="167" t="s">
        <v>24</v>
      </c>
      <c r="D11" s="167" t="s">
        <v>13</v>
      </c>
      <c r="E11" s="167" t="s">
        <v>14</v>
      </c>
      <c r="F11" s="167" t="s">
        <v>15</v>
      </c>
      <c r="G11" s="167" t="s">
        <v>16</v>
      </c>
      <c r="H11" s="167" t="s">
        <v>17</v>
      </c>
      <c r="I11" s="167" t="s">
        <v>18</v>
      </c>
      <c r="J11" s="167" t="s">
        <v>19</v>
      </c>
      <c r="K11" s="167" t="s">
        <v>20</v>
      </c>
      <c r="L11" s="167" t="s">
        <v>21</v>
      </c>
      <c r="M11" s="167" t="s">
        <v>22</v>
      </c>
      <c r="N11" s="167" t="s">
        <v>23</v>
      </c>
      <c r="O11" s="167" t="s">
        <v>24</v>
      </c>
      <c r="P11" s="167" t="s">
        <v>24</v>
      </c>
      <c r="Q11" s="167" t="s">
        <v>25</v>
      </c>
      <c r="R11" s="167" t="s">
        <v>91</v>
      </c>
      <c r="S11" s="167" t="s">
        <v>13</v>
      </c>
      <c r="T11" s="167" t="s">
        <v>100</v>
      </c>
      <c r="U11" s="167" t="s">
        <v>14</v>
      </c>
      <c r="V11" s="167" t="s">
        <v>99</v>
      </c>
      <c r="W11" s="167" t="s">
        <v>15</v>
      </c>
      <c r="X11" s="167" t="s">
        <v>98</v>
      </c>
      <c r="Y11" s="167" t="s">
        <v>16</v>
      </c>
      <c r="Z11" s="167" t="s">
        <v>97</v>
      </c>
      <c r="AA11" s="167" t="s">
        <v>28</v>
      </c>
      <c r="AB11" s="167" t="s">
        <v>96</v>
      </c>
      <c r="AC11" s="167" t="s">
        <v>29</v>
      </c>
      <c r="AD11" s="167" t="s">
        <v>19</v>
      </c>
      <c r="AE11" s="167" t="s">
        <v>30</v>
      </c>
      <c r="AF11" s="167" t="s">
        <v>95</v>
      </c>
      <c r="AG11" s="167" t="s">
        <v>20</v>
      </c>
      <c r="AH11" s="167" t="s">
        <v>94</v>
      </c>
      <c r="AI11" s="167" t="s">
        <v>21</v>
      </c>
      <c r="AJ11" s="167" t="s">
        <v>22</v>
      </c>
      <c r="AK11" s="167" t="s">
        <v>31</v>
      </c>
      <c r="AL11" s="167" t="s">
        <v>93</v>
      </c>
      <c r="AM11" s="167" t="s">
        <v>23</v>
      </c>
      <c r="AN11" s="167" t="s">
        <v>92</v>
      </c>
      <c r="AO11" s="167" t="s">
        <v>24</v>
      </c>
      <c r="AP11" s="167" t="s">
        <v>33</v>
      </c>
      <c r="AQ11" s="167" t="s">
        <v>28</v>
      </c>
      <c r="AR11" s="167" t="s">
        <v>14</v>
      </c>
      <c r="AS11" s="167" t="s">
        <v>15</v>
      </c>
      <c r="AT11" s="167" t="s">
        <v>16</v>
      </c>
      <c r="AU11" s="167" t="s">
        <v>28</v>
      </c>
      <c r="AV11" s="167" t="s">
        <v>24</v>
      </c>
      <c r="AW11" s="167" t="s">
        <v>30</v>
      </c>
      <c r="AX11" s="167" t="s">
        <v>23</v>
      </c>
      <c r="AY11" s="167" t="s">
        <v>21</v>
      </c>
      <c r="AZ11" s="167" t="s">
        <v>24</v>
      </c>
      <c r="BA11" s="167" t="s">
        <v>30</v>
      </c>
      <c r="BB11" s="167" t="s">
        <v>24</v>
      </c>
      <c r="BC11" s="167" t="s">
        <v>33</v>
      </c>
      <c r="BD11" s="167" t="s">
        <v>39</v>
      </c>
    </row>
    <row r="12" spans="1:56" ht="13.5" thickBot="1">
      <c r="A12" s="168">
        <v>1</v>
      </c>
      <c r="B12" s="168">
        <v>2</v>
      </c>
      <c r="C12" s="168">
        <v>3</v>
      </c>
      <c r="D12" s="168">
        <v>3</v>
      </c>
      <c r="E12" s="169">
        <v>3</v>
      </c>
      <c r="F12" s="169">
        <v>3</v>
      </c>
      <c r="G12" s="169">
        <v>3</v>
      </c>
      <c r="H12" s="169">
        <v>3</v>
      </c>
      <c r="I12" s="169">
        <v>3</v>
      </c>
      <c r="J12" s="169">
        <v>3</v>
      </c>
      <c r="K12" s="169">
        <v>3</v>
      </c>
      <c r="L12" s="169">
        <v>3</v>
      </c>
      <c r="M12" s="169">
        <v>3</v>
      </c>
      <c r="N12" s="169">
        <v>3</v>
      </c>
      <c r="O12" s="168">
        <v>3</v>
      </c>
      <c r="P12" s="169">
        <v>3</v>
      </c>
      <c r="Q12" s="168">
        <v>4</v>
      </c>
      <c r="R12" s="168">
        <v>5</v>
      </c>
      <c r="S12" s="168">
        <v>5</v>
      </c>
      <c r="T12" s="168">
        <v>5</v>
      </c>
      <c r="U12" s="168">
        <v>5</v>
      </c>
      <c r="V12" s="168">
        <v>5</v>
      </c>
      <c r="W12" s="168">
        <v>5</v>
      </c>
      <c r="X12" s="168">
        <v>5</v>
      </c>
      <c r="Y12" s="168">
        <v>5</v>
      </c>
      <c r="Z12" s="168">
        <v>5</v>
      </c>
      <c r="AA12" s="168">
        <v>5</v>
      </c>
      <c r="AB12" s="168">
        <v>5</v>
      </c>
      <c r="AC12" s="168">
        <v>5</v>
      </c>
      <c r="AD12" s="168">
        <v>5</v>
      </c>
      <c r="AE12" s="168">
        <v>5</v>
      </c>
      <c r="AF12" s="168">
        <v>5</v>
      </c>
      <c r="AG12" s="168">
        <v>5</v>
      </c>
      <c r="AH12" s="168">
        <v>5</v>
      </c>
      <c r="AI12" s="168">
        <v>5</v>
      </c>
      <c r="AJ12" s="168">
        <v>5</v>
      </c>
      <c r="AK12" s="168">
        <v>5</v>
      </c>
      <c r="AL12" s="168">
        <v>5</v>
      </c>
      <c r="AM12" s="168">
        <v>5</v>
      </c>
      <c r="AN12" s="168">
        <v>5</v>
      </c>
      <c r="AO12" s="168">
        <v>5</v>
      </c>
      <c r="AP12" s="168">
        <v>6</v>
      </c>
      <c r="AQ12" s="168">
        <v>7</v>
      </c>
      <c r="AR12" s="168">
        <v>7</v>
      </c>
      <c r="AS12" s="168">
        <v>7</v>
      </c>
      <c r="AT12" s="168">
        <v>7</v>
      </c>
      <c r="AU12" s="168">
        <v>7</v>
      </c>
      <c r="AV12" s="168">
        <v>7</v>
      </c>
      <c r="AW12" s="168">
        <v>7</v>
      </c>
      <c r="AX12" s="168">
        <v>7</v>
      </c>
      <c r="AY12" s="168">
        <v>7</v>
      </c>
      <c r="AZ12" s="168">
        <v>7</v>
      </c>
      <c r="BA12" s="168">
        <v>7</v>
      </c>
      <c r="BB12" s="168">
        <v>7</v>
      </c>
      <c r="BC12" s="168">
        <v>8</v>
      </c>
      <c r="BD12" s="168">
        <v>9</v>
      </c>
    </row>
    <row r="13" spans="1:56" ht="24.75" customHeight="1">
      <c r="A13" s="70" t="s">
        <v>109</v>
      </c>
      <c r="B13" s="19">
        <v>7158733491</v>
      </c>
      <c r="C13" s="19">
        <f>220296697.97-5367452.97-344070.58-436938-109234-50000000-70000-900</f>
        <v>163968102.42</v>
      </c>
      <c r="D13" s="19">
        <v>440332427.27</v>
      </c>
      <c r="E13" s="19">
        <v>110209197.7</v>
      </c>
      <c r="F13" s="19">
        <v>2813811963</v>
      </c>
      <c r="G13" s="19">
        <v>468667529.14</v>
      </c>
      <c r="H13" s="19">
        <v>8469276.76</v>
      </c>
      <c r="I13" s="19">
        <v>285366727.11</v>
      </c>
      <c r="J13" s="19">
        <v>111281237.84</v>
      </c>
      <c r="K13" s="19">
        <v>114044972.76</v>
      </c>
      <c r="L13" s="19">
        <v>277891382.19</v>
      </c>
      <c r="M13" s="19">
        <v>23886316.2</v>
      </c>
      <c r="N13" s="19">
        <v>61360213.97</v>
      </c>
      <c r="O13" s="19"/>
      <c r="P13" s="19">
        <v>1910601892.06</v>
      </c>
      <c r="Q13" s="18">
        <f>SUM(C13:P13)</f>
        <v>6789891238.42</v>
      </c>
      <c r="R13" s="17">
        <f>28067873-1943103</f>
        <v>26124770</v>
      </c>
      <c r="S13" s="19">
        <v>192690926.27</v>
      </c>
      <c r="T13" s="19">
        <v>655000</v>
      </c>
      <c r="U13" s="19">
        <v>154089670.7</v>
      </c>
      <c r="V13" s="19">
        <f>730000+14854027</f>
        <v>15584027</v>
      </c>
      <c r="W13" s="19">
        <f>14309481.14+2234379575</f>
        <v>2248689056.14</v>
      </c>
      <c r="X13" s="19">
        <v>1590000</v>
      </c>
      <c r="Y13" s="19">
        <v>189102428.14</v>
      </c>
      <c r="Z13" s="19">
        <v>22284907.42</v>
      </c>
      <c r="AA13" s="19">
        <v>754475926.62</v>
      </c>
      <c r="AB13" s="19">
        <v>13108162</v>
      </c>
      <c r="AC13" s="19">
        <v>346032470.11</v>
      </c>
      <c r="AD13" s="19">
        <v>0</v>
      </c>
      <c r="AE13" s="19">
        <v>55795902.84</v>
      </c>
      <c r="AF13" s="19">
        <v>10613493</v>
      </c>
      <c r="AG13" s="19">
        <v>311259880.76</v>
      </c>
      <c r="AH13" s="19">
        <v>0</v>
      </c>
      <c r="AI13" s="19">
        <v>80732632.44</v>
      </c>
      <c r="AJ13" s="19">
        <v>12062807</v>
      </c>
      <c r="AK13" s="19">
        <v>102937903.95</v>
      </c>
      <c r="AL13" s="19">
        <v>0</v>
      </c>
      <c r="AM13" s="19">
        <v>201966230.97</v>
      </c>
      <c r="AN13" s="19">
        <v>0</v>
      </c>
      <c r="AO13" s="19">
        <v>123171276.06</v>
      </c>
      <c r="AP13" s="15">
        <f>SUM(R13:AO13)</f>
        <v>4862967471.42</v>
      </c>
      <c r="AQ13" s="19">
        <v>0</v>
      </c>
      <c r="AR13" s="19"/>
      <c r="AS13" s="19"/>
      <c r="AT13" s="19"/>
      <c r="AU13" s="19"/>
      <c r="AV13" s="19">
        <v>0</v>
      </c>
      <c r="AW13" s="19"/>
      <c r="AX13" s="19"/>
      <c r="AY13" s="19"/>
      <c r="AZ13" s="19"/>
      <c r="BA13" s="19">
        <v>0</v>
      </c>
      <c r="BB13" s="19">
        <v>0</v>
      </c>
      <c r="BC13" s="14">
        <f>SUM(AQ13:BB13)</f>
        <v>0</v>
      </c>
      <c r="BD13" s="94">
        <f>SUM(Q13-AP13-BC13)</f>
        <v>1926923767</v>
      </c>
    </row>
    <row r="14" spans="1:56" ht="24.75" customHeight="1">
      <c r="A14" s="71" t="s">
        <v>110</v>
      </c>
      <c r="B14" s="20"/>
      <c r="C14" s="20">
        <v>0</v>
      </c>
      <c r="D14" s="20">
        <v>21296</v>
      </c>
      <c r="E14" s="20">
        <v>0</v>
      </c>
      <c r="F14" s="20">
        <v>25776</v>
      </c>
      <c r="G14" s="20">
        <v>33967</v>
      </c>
      <c r="H14" s="20">
        <v>2557001</v>
      </c>
      <c r="I14" s="20">
        <v>761949</v>
      </c>
      <c r="J14" s="20">
        <v>751983</v>
      </c>
      <c r="K14" s="20">
        <v>786544</v>
      </c>
      <c r="L14" s="20">
        <v>768821</v>
      </c>
      <c r="M14" s="20">
        <v>7330403</v>
      </c>
      <c r="N14" s="20">
        <v>2950572</v>
      </c>
      <c r="O14" s="20"/>
      <c r="P14" s="20">
        <f>2886695+7300000</f>
        <v>10186695</v>
      </c>
      <c r="Q14" s="18">
        <f>SUM(C14:P14)</f>
        <v>26175007</v>
      </c>
      <c r="R14" s="18"/>
      <c r="S14" s="20">
        <v>21296</v>
      </c>
      <c r="T14" s="20">
        <v>0</v>
      </c>
      <c r="U14" s="20">
        <v>0</v>
      </c>
      <c r="V14" s="20">
        <v>0</v>
      </c>
      <c r="W14" s="20">
        <v>25776</v>
      </c>
      <c r="X14" s="20">
        <v>0</v>
      </c>
      <c r="Y14" s="20">
        <v>33967</v>
      </c>
      <c r="Z14" s="20">
        <v>0</v>
      </c>
      <c r="AA14" s="20">
        <v>2557001</v>
      </c>
      <c r="AB14" s="20">
        <v>0</v>
      </c>
      <c r="AC14" s="20">
        <v>761949</v>
      </c>
      <c r="AD14" s="20">
        <v>0</v>
      </c>
      <c r="AE14" s="20">
        <v>751983</v>
      </c>
      <c r="AF14" s="20">
        <v>0</v>
      </c>
      <c r="AG14" s="20">
        <v>786544</v>
      </c>
      <c r="AH14" s="20">
        <v>0</v>
      </c>
      <c r="AI14" s="20">
        <v>768821</v>
      </c>
      <c r="AJ14" s="20">
        <v>0</v>
      </c>
      <c r="AK14" s="20">
        <v>7330403</v>
      </c>
      <c r="AL14" s="20">
        <v>0</v>
      </c>
      <c r="AM14" s="20">
        <v>2950572</v>
      </c>
      <c r="AN14" s="20">
        <v>0</v>
      </c>
      <c r="AO14" s="20">
        <v>10186695</v>
      </c>
      <c r="AP14" s="86">
        <f>SUM(R14:AO14)</f>
        <v>26175007</v>
      </c>
      <c r="AQ14" s="20">
        <v>0</v>
      </c>
      <c r="AR14" s="20"/>
      <c r="AS14" s="20"/>
      <c r="AT14" s="20"/>
      <c r="AU14" s="20"/>
      <c r="AV14" s="20">
        <v>0</v>
      </c>
      <c r="AW14" s="20"/>
      <c r="AX14" s="20"/>
      <c r="AY14" s="20"/>
      <c r="AZ14" s="20"/>
      <c r="BA14" s="20">
        <v>0</v>
      </c>
      <c r="BB14" s="20">
        <v>0</v>
      </c>
      <c r="BC14" s="15">
        <f>SUM(AQ14:BB14)</f>
        <v>0</v>
      </c>
      <c r="BD14" s="16">
        <f>SUM(Q14-AP14-BC14)</f>
        <v>0</v>
      </c>
    </row>
    <row r="15" spans="1:56" ht="25.5" customHeight="1">
      <c r="A15" s="71" t="s">
        <v>108</v>
      </c>
      <c r="B15" s="20"/>
      <c r="C15" s="20">
        <v>0</v>
      </c>
      <c r="D15" s="20">
        <v>157286523.18</v>
      </c>
      <c r="E15" s="20">
        <v>172420962.19</v>
      </c>
      <c r="F15" s="20">
        <v>17186486.4</v>
      </c>
      <c r="G15" s="159">
        <v>0</v>
      </c>
      <c r="H15" s="20">
        <v>3144086</v>
      </c>
      <c r="I15" s="20">
        <v>0</v>
      </c>
      <c r="J15" s="20">
        <v>0</v>
      </c>
      <c r="K15" s="20">
        <v>1983662</v>
      </c>
      <c r="L15" s="20">
        <v>15513534</v>
      </c>
      <c r="M15" s="20">
        <v>0</v>
      </c>
      <c r="N15" s="20">
        <v>24289591</v>
      </c>
      <c r="O15" s="20"/>
      <c r="P15" s="20">
        <v>58098013.98</v>
      </c>
      <c r="Q15" s="18">
        <f>SUM(C15:P15)</f>
        <v>449922858.75</v>
      </c>
      <c r="R15" s="18"/>
      <c r="S15" s="20">
        <v>157286523.18</v>
      </c>
      <c r="T15" s="20">
        <v>0</v>
      </c>
      <c r="U15" s="20">
        <v>172420962.19</v>
      </c>
      <c r="V15" s="20">
        <v>0</v>
      </c>
      <c r="W15" s="20">
        <v>17186486.4</v>
      </c>
      <c r="X15" s="20">
        <v>0</v>
      </c>
      <c r="Y15" s="20">
        <v>0</v>
      </c>
      <c r="Z15" s="20">
        <v>0</v>
      </c>
      <c r="AA15" s="20">
        <v>3144086</v>
      </c>
      <c r="AB15" s="20">
        <v>0</v>
      </c>
      <c r="AC15" s="20">
        <v>0</v>
      </c>
      <c r="AD15" s="20">
        <v>0</v>
      </c>
      <c r="AE15" s="159">
        <v>0</v>
      </c>
      <c r="AF15" s="20">
        <v>0</v>
      </c>
      <c r="AG15" s="20">
        <v>1983662</v>
      </c>
      <c r="AH15" s="20">
        <v>0</v>
      </c>
      <c r="AI15" s="20">
        <v>15513534</v>
      </c>
      <c r="AJ15" s="20">
        <v>0</v>
      </c>
      <c r="AK15" s="20">
        <v>0</v>
      </c>
      <c r="AL15" s="20">
        <v>0</v>
      </c>
      <c r="AM15" s="20">
        <v>24289591</v>
      </c>
      <c r="AN15" s="20">
        <v>0</v>
      </c>
      <c r="AO15" s="20">
        <v>58098013.98</v>
      </c>
      <c r="AP15" s="86">
        <f>SUM(R15:AO15)</f>
        <v>449922858.75</v>
      </c>
      <c r="AQ15" s="20">
        <v>0</v>
      </c>
      <c r="AR15" s="20"/>
      <c r="AS15" s="20"/>
      <c r="AT15" s="20"/>
      <c r="AU15" s="20"/>
      <c r="AV15" s="20">
        <v>0</v>
      </c>
      <c r="AW15" s="20"/>
      <c r="AX15" s="20"/>
      <c r="AY15" s="20"/>
      <c r="AZ15" s="20"/>
      <c r="BA15" s="20">
        <v>0</v>
      </c>
      <c r="BB15" s="20">
        <v>0</v>
      </c>
      <c r="BC15" s="15">
        <f>SUM(AQ15:BB15)</f>
        <v>0</v>
      </c>
      <c r="BD15" s="16">
        <f>SUM(Q15-AP15-BC15)</f>
        <v>0</v>
      </c>
    </row>
    <row r="16" spans="1:56" ht="18" customHeight="1">
      <c r="A16" s="205" t="s">
        <v>274</v>
      </c>
      <c r="B16" s="20">
        <v>1708390073</v>
      </c>
      <c r="C16" s="20">
        <v>0</v>
      </c>
      <c r="D16" s="20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/>
      <c r="P16" s="20">
        <v>0</v>
      </c>
      <c r="Q16" s="18">
        <f>SUM(C16:P16)</f>
        <v>0</v>
      </c>
      <c r="R16" s="18"/>
      <c r="S16" s="20"/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86">
        <f>SUM(R16:AO16)</f>
        <v>0</v>
      </c>
      <c r="AQ16" s="20">
        <v>0</v>
      </c>
      <c r="AR16" s="20"/>
      <c r="AS16" s="20"/>
      <c r="AT16" s="20"/>
      <c r="AU16" s="20"/>
      <c r="AV16" s="20">
        <v>0</v>
      </c>
      <c r="AW16" s="20"/>
      <c r="AX16" s="20"/>
      <c r="AY16" s="20"/>
      <c r="AZ16" s="20"/>
      <c r="BA16" s="20"/>
      <c r="BB16" s="20"/>
      <c r="BC16" s="15">
        <v>0</v>
      </c>
      <c r="BD16" s="192">
        <f>SUM(Q16-AP16-BC16)</f>
        <v>0</v>
      </c>
    </row>
    <row r="17" spans="1:56" ht="18" customHeight="1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  <c r="R17" s="18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5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15"/>
      <c r="BD17" s="16"/>
    </row>
    <row r="18" spans="1:56" ht="18" customHeight="1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8"/>
      <c r="R18" s="18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5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15"/>
      <c r="BD18" s="16"/>
    </row>
    <row r="19" spans="1:56" ht="18" customHeight="1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8"/>
      <c r="R19" s="18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5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15"/>
      <c r="BD19" s="16"/>
    </row>
    <row r="20" spans="1:56" ht="18" customHeight="1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5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15"/>
      <c r="BD20" s="16"/>
    </row>
    <row r="21" spans="1:56" ht="18" customHeight="1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5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15"/>
      <c r="BD21" s="16"/>
    </row>
    <row r="22" spans="1:56" ht="18" customHeight="1" thickBot="1">
      <c r="A22" s="105" t="s">
        <v>129</v>
      </c>
      <c r="B22" s="106">
        <f aca="true" t="shared" si="0" ref="B22:AG22">SUM(B13:B21)</f>
        <v>8867123564</v>
      </c>
      <c r="C22" s="106">
        <f t="shared" si="0"/>
        <v>163968102.42</v>
      </c>
      <c r="D22" s="106">
        <f t="shared" si="0"/>
        <v>597640246.45</v>
      </c>
      <c r="E22" s="106">
        <f t="shared" si="0"/>
        <v>282630159.89</v>
      </c>
      <c r="F22" s="106">
        <f t="shared" si="0"/>
        <v>2831024225.4</v>
      </c>
      <c r="G22" s="106">
        <f t="shared" si="0"/>
        <v>468701496.14</v>
      </c>
      <c r="H22" s="106">
        <f t="shared" si="0"/>
        <v>14170363.76</v>
      </c>
      <c r="I22" s="106">
        <f t="shared" si="0"/>
        <v>286128676.11</v>
      </c>
      <c r="J22" s="106">
        <f t="shared" si="0"/>
        <v>112033220.84</v>
      </c>
      <c r="K22" s="106">
        <f t="shared" si="0"/>
        <v>116815178.76</v>
      </c>
      <c r="L22" s="106">
        <f t="shared" si="0"/>
        <v>294173737.19</v>
      </c>
      <c r="M22" s="106">
        <f t="shared" si="0"/>
        <v>31216719.2</v>
      </c>
      <c r="N22" s="106">
        <f t="shared" si="0"/>
        <v>88600376.97</v>
      </c>
      <c r="O22" s="106">
        <f t="shared" si="0"/>
        <v>0</v>
      </c>
      <c r="P22" s="106">
        <f t="shared" si="0"/>
        <v>1978886601.04</v>
      </c>
      <c r="Q22" s="106">
        <f t="shared" si="0"/>
        <v>7265989104.17</v>
      </c>
      <c r="R22" s="106">
        <f t="shared" si="0"/>
        <v>26124770</v>
      </c>
      <c r="S22" s="106">
        <f t="shared" si="0"/>
        <v>349998745.45000005</v>
      </c>
      <c r="T22" s="106">
        <f t="shared" si="0"/>
        <v>655000</v>
      </c>
      <c r="U22" s="106">
        <f t="shared" si="0"/>
        <v>326510632.89</v>
      </c>
      <c r="V22" s="106">
        <f t="shared" si="0"/>
        <v>15584027</v>
      </c>
      <c r="W22" s="106">
        <f t="shared" si="0"/>
        <v>2265901318.54</v>
      </c>
      <c r="X22" s="106">
        <f t="shared" si="0"/>
        <v>1590000</v>
      </c>
      <c r="Y22" s="106">
        <f t="shared" si="0"/>
        <v>189136395.14</v>
      </c>
      <c r="Z22" s="106">
        <f t="shared" si="0"/>
        <v>22284907.42</v>
      </c>
      <c r="AA22" s="106">
        <f t="shared" si="0"/>
        <v>760177013.62</v>
      </c>
      <c r="AB22" s="106">
        <f t="shared" si="0"/>
        <v>13108162</v>
      </c>
      <c r="AC22" s="106">
        <f t="shared" si="0"/>
        <v>346794419.11</v>
      </c>
      <c r="AD22" s="106">
        <f t="shared" si="0"/>
        <v>0</v>
      </c>
      <c r="AE22" s="106">
        <f t="shared" si="0"/>
        <v>56547885.84</v>
      </c>
      <c r="AF22" s="106">
        <f t="shared" si="0"/>
        <v>10613493</v>
      </c>
      <c r="AG22" s="106">
        <f t="shared" si="0"/>
        <v>314030086.76</v>
      </c>
      <c r="AH22" s="106">
        <f aca="true" t="shared" si="1" ref="AH22:BD22">SUM(AH13:AH21)</f>
        <v>0</v>
      </c>
      <c r="AI22" s="106">
        <f t="shared" si="1"/>
        <v>97014987.44</v>
      </c>
      <c r="AJ22" s="106">
        <f t="shared" si="1"/>
        <v>12062807</v>
      </c>
      <c r="AK22" s="106">
        <f t="shared" si="1"/>
        <v>110268306.95</v>
      </c>
      <c r="AL22" s="106">
        <f t="shared" si="1"/>
        <v>0</v>
      </c>
      <c r="AM22" s="106">
        <f t="shared" si="1"/>
        <v>229206393.97</v>
      </c>
      <c r="AN22" s="106">
        <f t="shared" si="1"/>
        <v>0</v>
      </c>
      <c r="AO22" s="106">
        <f t="shared" si="1"/>
        <v>191455985.04</v>
      </c>
      <c r="AP22" s="184">
        <f t="shared" si="1"/>
        <v>5339065337.17</v>
      </c>
      <c r="AQ22" s="106">
        <f t="shared" si="1"/>
        <v>0</v>
      </c>
      <c r="AR22" s="106">
        <f t="shared" si="1"/>
        <v>0</v>
      </c>
      <c r="AS22" s="106">
        <f t="shared" si="1"/>
        <v>0</v>
      </c>
      <c r="AT22" s="106">
        <f t="shared" si="1"/>
        <v>0</v>
      </c>
      <c r="AU22" s="106">
        <f t="shared" si="1"/>
        <v>0</v>
      </c>
      <c r="AV22" s="106">
        <f t="shared" si="1"/>
        <v>0</v>
      </c>
      <c r="AW22" s="106">
        <f t="shared" si="1"/>
        <v>0</v>
      </c>
      <c r="AX22" s="106">
        <f t="shared" si="1"/>
        <v>0</v>
      </c>
      <c r="AY22" s="106">
        <f t="shared" si="1"/>
        <v>0</v>
      </c>
      <c r="AZ22" s="106">
        <f t="shared" si="1"/>
        <v>0</v>
      </c>
      <c r="BA22" s="106">
        <f t="shared" si="1"/>
        <v>0</v>
      </c>
      <c r="BB22" s="106">
        <f t="shared" si="1"/>
        <v>0</v>
      </c>
      <c r="BC22" s="106">
        <f t="shared" si="1"/>
        <v>0</v>
      </c>
      <c r="BD22" s="107">
        <f t="shared" si="1"/>
        <v>1926923767</v>
      </c>
    </row>
    <row r="23" spans="1:56" ht="12.75">
      <c r="A23" s="92" t="s">
        <v>275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16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1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6"/>
    </row>
    <row r="26" spans="1:56" ht="12.75">
      <c r="A26" s="10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6"/>
    </row>
    <row r="27" spans="1:56" ht="12.75">
      <c r="A27" s="10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89"/>
    </row>
    <row r="28" spans="1:56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5"/>
      <c r="BC28" s="5"/>
      <c r="BD28" s="6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40"/>
      <c r="B30" s="48"/>
      <c r="C30" s="48"/>
      <c r="D30" s="53"/>
      <c r="E30" s="53"/>
      <c r="F30" s="53"/>
      <c r="G30" s="53"/>
      <c r="H30" s="53"/>
      <c r="I30" s="53"/>
      <c r="J30" s="53"/>
      <c r="K30" s="53"/>
      <c r="L30" s="53"/>
      <c r="M30" s="8"/>
      <c r="N30" s="8"/>
      <c r="O30" s="8"/>
      <c r="P30" s="5"/>
      <c r="Q30" s="5"/>
      <c r="R30" s="5"/>
      <c r="S30" s="8"/>
      <c r="T30" s="5"/>
      <c r="U30" s="5"/>
      <c r="V30" s="5"/>
      <c r="W30" s="8"/>
      <c r="X30" s="5"/>
      <c r="Y30" s="5"/>
      <c r="Z30" s="5"/>
      <c r="AA30" s="5"/>
      <c r="AB30" s="5"/>
      <c r="AC30" s="8"/>
      <c r="AD30" s="5"/>
      <c r="AE30" s="8"/>
      <c r="AF30" s="5"/>
      <c r="AG30" s="8"/>
      <c r="AH30" s="5"/>
      <c r="AI30" s="5"/>
      <c r="AJ30" s="5"/>
      <c r="AK30" s="8"/>
      <c r="AL30" s="5"/>
      <c r="AM30" s="5"/>
      <c r="AN30" s="5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48"/>
      <c r="BD30" s="6"/>
    </row>
    <row r="31" spans="1:56" ht="12.75">
      <c r="A31" s="40"/>
      <c r="B31" s="267" t="s">
        <v>153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8" t="s">
        <v>136</v>
      </c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5"/>
      <c r="BC31" s="2"/>
      <c r="BD31" s="6"/>
    </row>
    <row r="32" spans="1:56" ht="12.75">
      <c r="A32" s="4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72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5"/>
      <c r="BC32" s="5"/>
      <c r="BD32" s="6"/>
    </row>
    <row r="33" spans="1:56" ht="12.75">
      <c r="A33" s="8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8">
    <mergeCell ref="B32:N32"/>
    <mergeCell ref="A6:B6"/>
    <mergeCell ref="A7:B7"/>
    <mergeCell ref="A1:BD1"/>
    <mergeCell ref="A2:BD2"/>
    <mergeCell ref="A3:BD3"/>
    <mergeCell ref="A4:BD4"/>
    <mergeCell ref="B31:O31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Footer>&amp;CHACIENDA2006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9"/>
  <sheetViews>
    <sheetView zoomScale="75" zoomScaleNormal="75" workbookViewId="0" topLeftCell="A7">
      <pane ySplit="1005" topLeftCell="BM1" activePane="bottomLeft" state="split"/>
      <selection pane="topLeft" activeCell="AN7" sqref="AN1:AN16384"/>
      <selection pane="bottomLeft" activeCell="A86" sqref="A86"/>
    </sheetView>
  </sheetViews>
  <sheetFormatPr defaultColWidth="11.421875" defaultRowHeight="12.75"/>
  <cols>
    <col min="1" max="1" width="18.8515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customWidth="1"/>
    <col min="42" max="42" width="22.28125" style="1" customWidth="1"/>
    <col min="43" max="43" width="20.00390625" style="1" customWidth="1"/>
    <col min="44" max="44" width="19.8515625" style="1" customWidth="1"/>
    <col min="45" max="45" width="18.00390625" style="1" customWidth="1"/>
    <col min="46" max="16384" width="11.421875" style="1" customWidth="1"/>
  </cols>
  <sheetData>
    <row r="1" spans="1:42" ht="12.7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3"/>
    </row>
    <row r="2" spans="1:42" ht="12.75">
      <c r="A2" s="268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</row>
    <row r="3" spans="1:42" ht="12.75">
      <c r="A3" s="268" t="s">
        <v>51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70"/>
    </row>
    <row r="4" spans="1:42" ht="12.75">
      <c r="A4" s="268" t="s">
        <v>52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70"/>
    </row>
    <row r="5" spans="1:42" ht="12.75">
      <c r="A5" s="268" t="s">
        <v>58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70"/>
    </row>
    <row r="6" spans="1:42" ht="12.75">
      <c r="A6" s="254" t="s">
        <v>4</v>
      </c>
      <c r="B6" s="255"/>
      <c r="C6" s="210" t="s">
        <v>59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11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66" t="s">
        <v>8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212" t="s">
        <v>288</v>
      </c>
    </row>
    <row r="7" spans="1:42" ht="15" customHeight="1" thickBot="1">
      <c r="A7" s="254" t="s">
        <v>5</v>
      </c>
      <c r="B7" s="255"/>
      <c r="C7" s="65" t="s">
        <v>57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11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66" t="s">
        <v>9</v>
      </c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213">
        <v>2006</v>
      </c>
    </row>
    <row r="8" spans="1:42" ht="13.5" hidden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3"/>
    </row>
    <row r="9" spans="1:42" ht="12.7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</row>
    <row r="10" spans="1:42" ht="12.75">
      <c r="A10" s="171" t="s">
        <v>40</v>
      </c>
      <c r="B10" s="171" t="s">
        <v>42</v>
      </c>
      <c r="C10" s="171" t="s">
        <v>43</v>
      </c>
      <c r="D10" s="171" t="s">
        <v>44</v>
      </c>
      <c r="E10" s="171" t="s">
        <v>44</v>
      </c>
      <c r="F10" s="171" t="s">
        <v>44</v>
      </c>
      <c r="G10" s="171" t="s">
        <v>44</v>
      </c>
      <c r="H10" s="171" t="s">
        <v>44</v>
      </c>
      <c r="I10" s="171" t="s">
        <v>44</v>
      </c>
      <c r="J10" s="171" t="s">
        <v>44</v>
      </c>
      <c r="K10" s="171" t="s">
        <v>44</v>
      </c>
      <c r="L10" s="171" t="s">
        <v>44</v>
      </c>
      <c r="M10" s="171" t="s">
        <v>44</v>
      </c>
      <c r="N10" s="171" t="s">
        <v>44</v>
      </c>
      <c r="O10" s="171" t="s">
        <v>44</v>
      </c>
      <c r="P10" s="171" t="s">
        <v>44</v>
      </c>
      <c r="Q10" s="171" t="s">
        <v>45</v>
      </c>
      <c r="R10" s="171" t="s">
        <v>45</v>
      </c>
      <c r="S10" s="171" t="s">
        <v>45</v>
      </c>
      <c r="T10" s="171" t="s">
        <v>45</v>
      </c>
      <c r="U10" s="171" t="s">
        <v>45</v>
      </c>
      <c r="V10" s="171" t="s">
        <v>45</v>
      </c>
      <c r="W10" s="171" t="s">
        <v>45</v>
      </c>
      <c r="X10" s="171" t="s">
        <v>45</v>
      </c>
      <c r="Y10" s="171" t="s">
        <v>45</v>
      </c>
      <c r="Z10" s="171" t="s">
        <v>45</v>
      </c>
      <c r="AA10" s="171" t="s">
        <v>45</v>
      </c>
      <c r="AB10" s="171" t="s">
        <v>45</v>
      </c>
      <c r="AC10" s="171" t="s">
        <v>45</v>
      </c>
      <c r="AD10" s="171" t="s">
        <v>46</v>
      </c>
      <c r="AE10" s="171" t="s">
        <v>46</v>
      </c>
      <c r="AF10" s="171" t="s">
        <v>46</v>
      </c>
      <c r="AG10" s="171" t="s">
        <v>46</v>
      </c>
      <c r="AH10" s="171" t="s">
        <v>46</v>
      </c>
      <c r="AI10" s="171" t="s">
        <v>46</v>
      </c>
      <c r="AJ10" s="171" t="s">
        <v>46</v>
      </c>
      <c r="AK10" s="171" t="s">
        <v>46</v>
      </c>
      <c r="AL10" s="171" t="s">
        <v>46</v>
      </c>
      <c r="AM10" s="171" t="s">
        <v>46</v>
      </c>
      <c r="AN10" s="171" t="s">
        <v>46</v>
      </c>
      <c r="AO10" s="171" t="s">
        <v>46</v>
      </c>
      <c r="AP10" s="171" t="s">
        <v>46</v>
      </c>
    </row>
    <row r="11" spans="1:42" ht="13.5" thickBot="1">
      <c r="A11" s="214" t="s">
        <v>41</v>
      </c>
      <c r="B11" s="214"/>
      <c r="C11" s="214" t="s">
        <v>12</v>
      </c>
      <c r="D11" s="214" t="s">
        <v>13</v>
      </c>
      <c r="E11" s="214" t="s">
        <v>14</v>
      </c>
      <c r="F11" s="214" t="s">
        <v>15</v>
      </c>
      <c r="G11" s="214" t="s">
        <v>16</v>
      </c>
      <c r="H11" s="214" t="s">
        <v>17</v>
      </c>
      <c r="I11" s="214" t="s">
        <v>18</v>
      </c>
      <c r="J11" s="214" t="s">
        <v>19</v>
      </c>
      <c r="K11" s="214" t="s">
        <v>20</v>
      </c>
      <c r="L11" s="214" t="s">
        <v>21</v>
      </c>
      <c r="M11" s="214" t="s">
        <v>22</v>
      </c>
      <c r="N11" s="214" t="s">
        <v>23</v>
      </c>
      <c r="O11" s="214" t="s">
        <v>24</v>
      </c>
      <c r="P11" s="214" t="s">
        <v>25</v>
      </c>
      <c r="Q11" s="214" t="s">
        <v>13</v>
      </c>
      <c r="R11" s="214" t="s">
        <v>14</v>
      </c>
      <c r="S11" s="214" t="s">
        <v>15</v>
      </c>
      <c r="T11" s="214" t="s">
        <v>16</v>
      </c>
      <c r="U11" s="214" t="s">
        <v>28</v>
      </c>
      <c r="V11" s="214" t="s">
        <v>29</v>
      </c>
      <c r="W11" s="214" t="s">
        <v>30</v>
      </c>
      <c r="X11" s="214" t="s">
        <v>20</v>
      </c>
      <c r="Y11" s="214" t="s">
        <v>21</v>
      </c>
      <c r="Z11" s="214" t="s">
        <v>31</v>
      </c>
      <c r="AA11" s="214" t="s">
        <v>23</v>
      </c>
      <c r="AB11" s="214" t="s">
        <v>24</v>
      </c>
      <c r="AC11" s="214" t="s">
        <v>47</v>
      </c>
      <c r="AD11" s="214" t="s">
        <v>13</v>
      </c>
      <c r="AE11" s="214" t="s">
        <v>14</v>
      </c>
      <c r="AF11" s="214" t="s">
        <v>15</v>
      </c>
      <c r="AG11" s="214" t="s">
        <v>16</v>
      </c>
      <c r="AH11" s="214" t="s">
        <v>28</v>
      </c>
      <c r="AI11" s="214" t="s">
        <v>29</v>
      </c>
      <c r="AJ11" s="214" t="s">
        <v>30</v>
      </c>
      <c r="AK11" s="214" t="s">
        <v>20</v>
      </c>
      <c r="AL11" s="214" t="s">
        <v>21</v>
      </c>
      <c r="AM11" s="214" t="s">
        <v>31</v>
      </c>
      <c r="AN11" s="214" t="s">
        <v>23</v>
      </c>
      <c r="AO11" s="214" t="s">
        <v>24</v>
      </c>
      <c r="AP11" s="214" t="s">
        <v>25</v>
      </c>
    </row>
    <row r="12" spans="1:45" s="220" customFormat="1" ht="12" thickBot="1">
      <c r="A12" s="168">
        <v>1</v>
      </c>
      <c r="B12" s="168">
        <v>2</v>
      </c>
      <c r="C12" s="168"/>
      <c r="D12" s="168">
        <v>3</v>
      </c>
      <c r="E12" s="168">
        <v>3</v>
      </c>
      <c r="F12" s="168">
        <v>3</v>
      </c>
      <c r="G12" s="168">
        <v>3</v>
      </c>
      <c r="H12" s="168">
        <v>3</v>
      </c>
      <c r="I12" s="168">
        <v>3</v>
      </c>
      <c r="J12" s="168">
        <v>3</v>
      </c>
      <c r="K12" s="168">
        <v>3</v>
      </c>
      <c r="L12" s="168">
        <v>3</v>
      </c>
      <c r="M12" s="168">
        <v>3</v>
      </c>
      <c r="N12" s="168">
        <v>3</v>
      </c>
      <c r="O12" s="168">
        <v>3</v>
      </c>
      <c r="P12" s="168">
        <v>4</v>
      </c>
      <c r="Q12" s="168">
        <v>5</v>
      </c>
      <c r="R12" s="168">
        <v>5</v>
      </c>
      <c r="S12" s="168">
        <v>5</v>
      </c>
      <c r="T12" s="168">
        <v>5</v>
      </c>
      <c r="U12" s="168">
        <v>5</v>
      </c>
      <c r="V12" s="168">
        <v>5</v>
      </c>
      <c r="W12" s="168">
        <v>5</v>
      </c>
      <c r="X12" s="168">
        <v>5</v>
      </c>
      <c r="Y12" s="168">
        <v>5</v>
      </c>
      <c r="Z12" s="168">
        <v>5</v>
      </c>
      <c r="AA12" s="168">
        <v>5</v>
      </c>
      <c r="AB12" s="168">
        <v>5</v>
      </c>
      <c r="AC12" s="168">
        <v>6</v>
      </c>
      <c r="AD12" s="168">
        <v>7</v>
      </c>
      <c r="AE12" s="168">
        <v>7</v>
      </c>
      <c r="AF12" s="168">
        <v>7</v>
      </c>
      <c r="AG12" s="168">
        <v>7</v>
      </c>
      <c r="AH12" s="168">
        <v>7</v>
      </c>
      <c r="AI12" s="168">
        <v>7</v>
      </c>
      <c r="AJ12" s="168">
        <v>7</v>
      </c>
      <c r="AK12" s="168">
        <v>7</v>
      </c>
      <c r="AL12" s="168">
        <v>7</v>
      </c>
      <c r="AM12" s="168">
        <v>7</v>
      </c>
      <c r="AN12" s="168">
        <v>7</v>
      </c>
      <c r="AO12" s="168">
        <v>7</v>
      </c>
      <c r="AP12" s="168">
        <v>8</v>
      </c>
      <c r="AQ12" s="221" t="s">
        <v>103</v>
      </c>
      <c r="AR12" s="221" t="s">
        <v>104</v>
      </c>
      <c r="AS12" s="221" t="s">
        <v>105</v>
      </c>
    </row>
    <row r="13" spans="1:46" s="34" customFormat="1" ht="13.5" thickBot="1">
      <c r="A13" s="122"/>
      <c r="B13" s="123" t="s">
        <v>111</v>
      </c>
      <c r="C13" s="124">
        <f aca="true" t="shared" si="0" ref="C13:AS13">SUM(C14,C42,C54)</f>
        <v>17672467719</v>
      </c>
      <c r="D13" s="124">
        <f t="shared" si="0"/>
        <v>1222515167</v>
      </c>
      <c r="E13" s="124">
        <f t="shared" si="0"/>
        <v>1154688409</v>
      </c>
      <c r="F13" s="124">
        <f t="shared" si="0"/>
        <v>1331444054</v>
      </c>
      <c r="G13" s="124">
        <f t="shared" si="0"/>
        <v>1158555780</v>
      </c>
      <c r="H13" s="124">
        <f t="shared" si="0"/>
        <v>1169217006</v>
      </c>
      <c r="I13" s="124">
        <f t="shared" si="0"/>
        <v>1819035197.1100001</v>
      </c>
      <c r="J13" s="124">
        <f t="shared" si="0"/>
        <v>1509433678</v>
      </c>
      <c r="K13" s="124">
        <f t="shared" si="0"/>
        <v>1475192585</v>
      </c>
      <c r="L13" s="124">
        <f t="shared" si="0"/>
        <v>1149947996</v>
      </c>
      <c r="M13" s="124">
        <f t="shared" si="0"/>
        <v>1281058616</v>
      </c>
      <c r="N13" s="124">
        <f t="shared" si="0"/>
        <v>1333030609</v>
      </c>
      <c r="O13" s="124">
        <f t="shared" si="0"/>
        <v>2830789090.89</v>
      </c>
      <c r="P13" s="124">
        <f t="shared" si="0"/>
        <v>17434908188</v>
      </c>
      <c r="Q13" s="124">
        <f t="shared" si="0"/>
        <v>722186201</v>
      </c>
      <c r="R13" s="124">
        <f t="shared" si="0"/>
        <v>1159410048</v>
      </c>
      <c r="S13" s="124">
        <f t="shared" si="0"/>
        <v>1376540244</v>
      </c>
      <c r="T13" s="124">
        <f t="shared" si="0"/>
        <v>1220748454</v>
      </c>
      <c r="U13" s="124">
        <f t="shared" si="0"/>
        <v>1209191583</v>
      </c>
      <c r="V13" s="124">
        <f t="shared" si="0"/>
        <v>1459524756</v>
      </c>
      <c r="W13" s="124">
        <f t="shared" si="0"/>
        <v>1593977527</v>
      </c>
      <c r="X13" s="124">
        <f t="shared" si="0"/>
        <v>1518905106</v>
      </c>
      <c r="Y13" s="124">
        <f t="shared" si="0"/>
        <v>1253558626</v>
      </c>
      <c r="Z13" s="124">
        <f t="shared" si="0"/>
        <v>1368927741</v>
      </c>
      <c r="AA13" s="124">
        <f t="shared" si="0"/>
        <v>1174940251</v>
      </c>
      <c r="AB13" s="124">
        <f t="shared" si="0"/>
        <v>3180164377</v>
      </c>
      <c r="AC13" s="124">
        <f t="shared" si="0"/>
        <v>17238074914</v>
      </c>
      <c r="AD13" s="124">
        <f t="shared" si="0"/>
        <v>717906201</v>
      </c>
      <c r="AE13" s="124">
        <f t="shared" si="0"/>
        <v>1158397882</v>
      </c>
      <c r="AF13" s="124">
        <f t="shared" si="0"/>
        <v>1368515429</v>
      </c>
      <c r="AG13" s="124">
        <f t="shared" si="0"/>
        <v>1210982310</v>
      </c>
      <c r="AH13" s="124">
        <f t="shared" si="0"/>
        <v>1223067014</v>
      </c>
      <c r="AI13" s="124">
        <f t="shared" si="0"/>
        <v>1436172301</v>
      </c>
      <c r="AJ13" s="124">
        <f t="shared" si="0"/>
        <v>1552647428</v>
      </c>
      <c r="AK13" s="124">
        <f t="shared" si="0"/>
        <v>1537507322</v>
      </c>
      <c r="AL13" s="124">
        <f t="shared" si="0"/>
        <v>1256947523</v>
      </c>
      <c r="AM13" s="124">
        <f t="shared" si="0"/>
        <v>1413809346</v>
      </c>
      <c r="AN13" s="124">
        <f t="shared" si="0"/>
        <v>1148858778</v>
      </c>
      <c r="AO13" s="124">
        <f t="shared" si="0"/>
        <v>3187588938</v>
      </c>
      <c r="AP13" s="124">
        <f t="shared" si="0"/>
        <v>17212400472</v>
      </c>
      <c r="AQ13" s="124">
        <f t="shared" si="0"/>
        <v>237559531</v>
      </c>
      <c r="AR13" s="124">
        <f t="shared" si="0"/>
        <v>196833274</v>
      </c>
      <c r="AS13" s="124">
        <f t="shared" si="0"/>
        <v>25674442</v>
      </c>
      <c r="AT13" s="200">
        <f>P13/C13</f>
        <v>0.9865576480445571</v>
      </c>
    </row>
    <row r="14" spans="1:46" s="34" customFormat="1" ht="13.5" thickBot="1">
      <c r="A14" s="122"/>
      <c r="B14" s="123" t="s">
        <v>84</v>
      </c>
      <c r="C14" s="124">
        <f aca="true" t="shared" si="1" ref="C14:AS14">SUM(C15:C41)</f>
        <v>15842800493</v>
      </c>
      <c r="D14" s="124">
        <f t="shared" si="1"/>
        <v>840927395</v>
      </c>
      <c r="E14" s="124">
        <f t="shared" si="1"/>
        <v>1146606699</v>
      </c>
      <c r="F14" s="124">
        <f t="shared" si="1"/>
        <v>1315959482</v>
      </c>
      <c r="G14" s="124">
        <f t="shared" si="1"/>
        <v>1132047965</v>
      </c>
      <c r="H14" s="124">
        <f t="shared" si="1"/>
        <v>1106942676</v>
      </c>
      <c r="I14" s="124">
        <f t="shared" si="1"/>
        <v>1383351279</v>
      </c>
      <c r="J14" s="124">
        <f t="shared" si="1"/>
        <v>1457078475</v>
      </c>
      <c r="K14" s="124">
        <f t="shared" si="1"/>
        <v>1290267845</v>
      </c>
      <c r="L14" s="124">
        <f t="shared" si="1"/>
        <v>1103870016</v>
      </c>
      <c r="M14" s="124">
        <f t="shared" si="1"/>
        <v>1187793758</v>
      </c>
      <c r="N14" s="124">
        <f t="shared" si="1"/>
        <v>1296164329</v>
      </c>
      <c r="O14" s="124">
        <f t="shared" si="1"/>
        <v>2364899398</v>
      </c>
      <c r="P14" s="124">
        <f t="shared" si="1"/>
        <v>15625909317</v>
      </c>
      <c r="Q14" s="124">
        <f t="shared" si="1"/>
        <v>704297395</v>
      </c>
      <c r="R14" s="124">
        <f t="shared" si="1"/>
        <v>1141268097</v>
      </c>
      <c r="S14" s="124">
        <f t="shared" si="1"/>
        <v>1320253633</v>
      </c>
      <c r="T14" s="124">
        <f t="shared" si="1"/>
        <v>1155408797</v>
      </c>
      <c r="U14" s="124">
        <f t="shared" si="1"/>
        <v>1126106295</v>
      </c>
      <c r="V14" s="124">
        <f t="shared" si="1"/>
        <v>1355243201</v>
      </c>
      <c r="W14" s="124">
        <f t="shared" si="1"/>
        <v>1463652078</v>
      </c>
      <c r="X14" s="124">
        <f t="shared" si="1"/>
        <v>1295227575</v>
      </c>
      <c r="Y14" s="124">
        <f t="shared" si="1"/>
        <v>1113964375</v>
      </c>
      <c r="Z14" s="124">
        <f t="shared" si="1"/>
        <v>1178682605</v>
      </c>
      <c r="AA14" s="124">
        <f t="shared" si="1"/>
        <v>1021566208</v>
      </c>
      <c r="AB14" s="124">
        <f t="shared" si="1"/>
        <v>2675212082</v>
      </c>
      <c r="AC14" s="124">
        <f t="shared" si="1"/>
        <v>15550882341</v>
      </c>
      <c r="AD14" s="124">
        <f t="shared" si="1"/>
        <v>704297395</v>
      </c>
      <c r="AE14" s="124">
        <f t="shared" si="1"/>
        <v>1137113381</v>
      </c>
      <c r="AF14" s="124">
        <f t="shared" si="1"/>
        <v>1320166612</v>
      </c>
      <c r="AG14" s="124">
        <f t="shared" si="1"/>
        <v>1150001179</v>
      </c>
      <c r="AH14" s="124">
        <f t="shared" si="1"/>
        <v>1131704425</v>
      </c>
      <c r="AI14" s="124">
        <f t="shared" si="1"/>
        <v>1359294426</v>
      </c>
      <c r="AJ14" s="124">
        <f t="shared" si="1"/>
        <v>1463652078</v>
      </c>
      <c r="AK14" s="124">
        <f t="shared" si="1"/>
        <v>1295227575</v>
      </c>
      <c r="AL14" s="124">
        <f t="shared" si="1"/>
        <v>1113058862</v>
      </c>
      <c r="AM14" s="124">
        <f t="shared" si="1"/>
        <v>1179588118</v>
      </c>
      <c r="AN14" s="124">
        <f t="shared" si="1"/>
        <v>1019991208</v>
      </c>
      <c r="AO14" s="124">
        <f t="shared" si="1"/>
        <v>2661817582</v>
      </c>
      <c r="AP14" s="125">
        <f t="shared" si="1"/>
        <v>15535912841</v>
      </c>
      <c r="AQ14" s="126">
        <f t="shared" si="1"/>
        <v>216891176</v>
      </c>
      <c r="AR14" s="126">
        <f t="shared" si="1"/>
        <v>75026976</v>
      </c>
      <c r="AS14" s="126">
        <f t="shared" si="1"/>
        <v>14969500</v>
      </c>
      <c r="AT14" s="200">
        <f>P14/C14</f>
        <v>0.9863097956642305</v>
      </c>
    </row>
    <row r="15" spans="1:46" s="27" customFormat="1" ht="12.75">
      <c r="A15" s="127" t="s">
        <v>181</v>
      </c>
      <c r="B15" s="128" t="s">
        <v>183</v>
      </c>
      <c r="C15" s="129">
        <f>7769849177+415000000</f>
        <v>8184849177</v>
      </c>
      <c r="D15" s="129">
        <v>558192286</v>
      </c>
      <c r="E15" s="129">
        <v>695194865</v>
      </c>
      <c r="F15" s="129">
        <v>761882707</v>
      </c>
      <c r="G15" s="129">
        <v>689480464</v>
      </c>
      <c r="H15" s="129">
        <v>710954217</v>
      </c>
      <c r="I15" s="129">
        <v>664692511</v>
      </c>
      <c r="J15" s="129">
        <v>636041735</v>
      </c>
      <c r="K15" s="129">
        <v>686130469</v>
      </c>
      <c r="L15" s="129">
        <v>705626140</v>
      </c>
      <c r="M15" s="129">
        <v>698491349</v>
      </c>
      <c r="N15" s="129">
        <v>689198202</v>
      </c>
      <c r="O15" s="129">
        <v>665692548</v>
      </c>
      <c r="P15" s="207">
        <f>SUM(D15:O15)</f>
        <v>8161577493</v>
      </c>
      <c r="Q15" s="129">
        <v>558192286</v>
      </c>
      <c r="R15" s="129">
        <v>695194865</v>
      </c>
      <c r="S15" s="129">
        <v>761882707</v>
      </c>
      <c r="T15" s="129">
        <v>689480464</v>
      </c>
      <c r="U15" s="129">
        <v>710954217</v>
      </c>
      <c r="V15" s="129">
        <v>664692511</v>
      </c>
      <c r="W15" s="129">
        <v>636030183</v>
      </c>
      <c r="X15" s="129">
        <v>686142021</v>
      </c>
      <c r="Y15" s="129">
        <v>705626140</v>
      </c>
      <c r="Z15" s="129">
        <v>698491349</v>
      </c>
      <c r="AA15" s="129">
        <v>689198202</v>
      </c>
      <c r="AB15" s="129">
        <v>665692548</v>
      </c>
      <c r="AC15" s="207">
        <f>SUM(Q15:AB15)</f>
        <v>8161577493</v>
      </c>
      <c r="AD15" s="129">
        <v>558192286</v>
      </c>
      <c r="AE15" s="129">
        <v>694843969</v>
      </c>
      <c r="AF15" s="129">
        <v>761882707</v>
      </c>
      <c r="AG15" s="129">
        <v>689684996</v>
      </c>
      <c r="AH15" s="129">
        <v>711100581</v>
      </c>
      <c r="AI15" s="129">
        <v>664692511</v>
      </c>
      <c r="AJ15" s="129">
        <v>636030183</v>
      </c>
      <c r="AK15" s="129">
        <v>686142021</v>
      </c>
      <c r="AL15" s="129">
        <v>705626140</v>
      </c>
      <c r="AM15" s="129">
        <v>698491349</v>
      </c>
      <c r="AN15" s="129">
        <v>689198202</v>
      </c>
      <c r="AO15" s="129">
        <v>665692548</v>
      </c>
      <c r="AP15" s="209">
        <f>SUM(AD15:AO15)</f>
        <v>8161577493</v>
      </c>
      <c r="AQ15" s="27">
        <f>SUM(C15-P15)</f>
        <v>23271684</v>
      </c>
      <c r="AR15" s="27">
        <f>SUM(P15-AC15)</f>
        <v>0</v>
      </c>
      <c r="AS15" s="27">
        <f>SUM(AC15-AP15)</f>
        <v>0</v>
      </c>
      <c r="AT15" s="200">
        <f>P15/C15</f>
        <v>0.9971567363678008</v>
      </c>
    </row>
    <row r="16" spans="1:46" s="27" customFormat="1" ht="12.75">
      <c r="A16" s="54" t="s">
        <v>182</v>
      </c>
      <c r="B16" s="139" t="s">
        <v>184</v>
      </c>
      <c r="C16" s="140">
        <f>568812127+30000000</f>
        <v>598812127</v>
      </c>
      <c r="D16" s="140">
        <v>34979184</v>
      </c>
      <c r="E16" s="140">
        <v>33110246</v>
      </c>
      <c r="F16" s="140">
        <v>33597258</v>
      </c>
      <c r="G16" s="140">
        <v>23935370</v>
      </c>
      <c r="H16" s="140">
        <v>22283739</v>
      </c>
      <c r="I16" s="140">
        <v>140893960</v>
      </c>
      <c r="J16" s="140">
        <v>36519087</v>
      </c>
      <c r="K16" s="140">
        <v>26968429</v>
      </c>
      <c r="L16" s="140">
        <v>16552562</v>
      </c>
      <c r="M16" s="140">
        <v>18713859</v>
      </c>
      <c r="N16" s="140">
        <v>18299137</v>
      </c>
      <c r="O16" s="140">
        <v>187739985</v>
      </c>
      <c r="P16" s="132">
        <f aca="true" t="shared" si="2" ref="P16:P43">SUM(D16:O16)</f>
        <v>593592816</v>
      </c>
      <c r="Q16" s="140">
        <v>34979184</v>
      </c>
      <c r="R16" s="140">
        <v>33110246</v>
      </c>
      <c r="S16" s="140">
        <v>33597258</v>
      </c>
      <c r="T16" s="140">
        <v>23935370</v>
      </c>
      <c r="U16" s="140">
        <v>22283739</v>
      </c>
      <c r="V16" s="140">
        <v>140893960</v>
      </c>
      <c r="W16" s="140">
        <v>36519087</v>
      </c>
      <c r="X16" s="140">
        <v>26968429</v>
      </c>
      <c r="Y16" s="140">
        <v>16552562</v>
      </c>
      <c r="Z16" s="140">
        <v>18713859</v>
      </c>
      <c r="AA16" s="140">
        <v>18299137</v>
      </c>
      <c r="AB16" s="140">
        <v>187739985</v>
      </c>
      <c r="AC16" s="132">
        <f aca="true" t="shared" si="3" ref="AC16:AC43">SUM(Q16:AB16)</f>
        <v>593592816</v>
      </c>
      <c r="AD16" s="140">
        <v>34979184</v>
      </c>
      <c r="AE16" s="140">
        <v>33110246</v>
      </c>
      <c r="AF16" s="140">
        <v>33597258</v>
      </c>
      <c r="AG16" s="140">
        <v>23935370</v>
      </c>
      <c r="AH16" s="140">
        <v>22283739</v>
      </c>
      <c r="AI16" s="140">
        <v>140893960</v>
      </c>
      <c r="AJ16" s="140">
        <v>36519087</v>
      </c>
      <c r="AK16" s="140">
        <v>26968429</v>
      </c>
      <c r="AL16" s="140">
        <v>16552562</v>
      </c>
      <c r="AM16" s="140">
        <v>18713859</v>
      </c>
      <c r="AN16" s="140">
        <v>18299137</v>
      </c>
      <c r="AO16" s="140">
        <v>187739985</v>
      </c>
      <c r="AP16" s="133">
        <f aca="true" t="shared" si="4" ref="AP16:AP43">SUM(AD16:AO16)</f>
        <v>593592816</v>
      </c>
      <c r="AQ16" s="27">
        <f aca="true" t="shared" si="5" ref="AQ16:AQ52">SUM(C16-P16)</f>
        <v>5219311</v>
      </c>
      <c r="AR16" s="27">
        <f aca="true" t="shared" si="6" ref="AR16:AR51">SUM(P16-AC16)</f>
        <v>0</v>
      </c>
      <c r="AS16" s="27">
        <f aca="true" t="shared" si="7" ref="AS16:AS43">SUM(AC16-AP16)</f>
        <v>0</v>
      </c>
      <c r="AT16" s="200">
        <f aca="true" t="shared" si="8" ref="AT16:AT41">P16/C16</f>
        <v>0.991283892284967</v>
      </c>
    </row>
    <row r="17" spans="1:46" s="27" customFormat="1" ht="12.75">
      <c r="A17" s="54" t="s">
        <v>203</v>
      </c>
      <c r="B17" s="139" t="s">
        <v>185</v>
      </c>
      <c r="C17" s="140">
        <f>180000000-30000000</f>
        <v>150000000</v>
      </c>
      <c r="D17" s="140">
        <v>0</v>
      </c>
      <c r="E17" s="140">
        <v>0</v>
      </c>
      <c r="F17" s="140">
        <v>2704382</v>
      </c>
      <c r="G17" s="140">
        <v>3144871</v>
      </c>
      <c r="H17" s="140">
        <v>1126079</v>
      </c>
      <c r="I17" s="140">
        <v>2072075</v>
      </c>
      <c r="J17" s="140">
        <v>2024396</v>
      </c>
      <c r="K17" s="140">
        <v>4902268</v>
      </c>
      <c r="L17" s="140">
        <v>4010913</v>
      </c>
      <c r="M17" s="140">
        <v>2807820</v>
      </c>
      <c r="N17" s="140">
        <v>1689379</v>
      </c>
      <c r="O17" s="140">
        <v>968935</v>
      </c>
      <c r="P17" s="132">
        <f t="shared" si="2"/>
        <v>25451118</v>
      </c>
      <c r="Q17" s="140">
        <v>0</v>
      </c>
      <c r="R17" s="140">
        <v>0</v>
      </c>
      <c r="S17" s="140">
        <v>2704382</v>
      </c>
      <c r="T17" s="140">
        <v>3144871</v>
      </c>
      <c r="U17" s="140">
        <v>1126079</v>
      </c>
      <c r="V17" s="140">
        <v>2072075</v>
      </c>
      <c r="W17" s="140">
        <v>2024396</v>
      </c>
      <c r="X17" s="140">
        <v>4902268</v>
      </c>
      <c r="Y17" s="140">
        <v>4010913</v>
      </c>
      <c r="Z17" s="140">
        <v>2807820</v>
      </c>
      <c r="AA17" s="140">
        <v>1689379</v>
      </c>
      <c r="AB17" s="140">
        <v>968935</v>
      </c>
      <c r="AC17" s="132">
        <f t="shared" si="3"/>
        <v>25451118</v>
      </c>
      <c r="AD17" s="140">
        <v>0</v>
      </c>
      <c r="AE17" s="140">
        <v>0</v>
      </c>
      <c r="AF17" s="140">
        <v>2704382</v>
      </c>
      <c r="AG17" s="140">
        <v>3144871</v>
      </c>
      <c r="AH17" s="140">
        <v>1126079</v>
      </c>
      <c r="AI17" s="140">
        <v>2072075</v>
      </c>
      <c r="AJ17" s="140">
        <v>2024396</v>
      </c>
      <c r="AK17" s="140">
        <v>4902268</v>
      </c>
      <c r="AL17" s="140">
        <v>4010913</v>
      </c>
      <c r="AM17" s="140">
        <v>2807820</v>
      </c>
      <c r="AN17" s="140">
        <v>1689379</v>
      </c>
      <c r="AO17" s="140">
        <v>968935</v>
      </c>
      <c r="AP17" s="133">
        <f t="shared" si="4"/>
        <v>25451118</v>
      </c>
      <c r="AQ17" s="27">
        <f t="shared" si="5"/>
        <v>124548882</v>
      </c>
      <c r="AR17" s="27">
        <f t="shared" si="6"/>
        <v>0</v>
      </c>
      <c r="AS17" s="27">
        <f t="shared" si="7"/>
        <v>0</v>
      </c>
      <c r="AT17" s="200">
        <f t="shared" si="8"/>
        <v>0.16967412</v>
      </c>
    </row>
    <row r="18" spans="1:46" s="27" customFormat="1" ht="12.75">
      <c r="A18" s="54" t="s">
        <v>204</v>
      </c>
      <c r="B18" s="139" t="s">
        <v>186</v>
      </c>
      <c r="C18" s="140">
        <f>459706694+4760060</f>
        <v>464466754</v>
      </c>
      <c r="D18" s="140">
        <v>35853540</v>
      </c>
      <c r="E18" s="140">
        <v>38418754</v>
      </c>
      <c r="F18" s="140">
        <v>43003192</v>
      </c>
      <c r="G18" s="140">
        <v>38854042</v>
      </c>
      <c r="H18" s="140">
        <v>40247323</v>
      </c>
      <c r="I18" s="140">
        <v>35408368</v>
      </c>
      <c r="J18" s="140">
        <v>34780843</v>
      </c>
      <c r="K18" s="140">
        <v>40212364</v>
      </c>
      <c r="L18" s="140">
        <v>39427645</v>
      </c>
      <c r="M18" s="140">
        <v>38353541</v>
      </c>
      <c r="N18" s="140">
        <v>38716252</v>
      </c>
      <c r="O18" s="140">
        <v>38382957</v>
      </c>
      <c r="P18" s="132">
        <f t="shared" si="2"/>
        <v>461658821</v>
      </c>
      <c r="Q18" s="140">
        <v>35853540</v>
      </c>
      <c r="R18" s="140">
        <v>38418754</v>
      </c>
      <c r="S18" s="140">
        <v>43003192</v>
      </c>
      <c r="T18" s="140">
        <v>38854042</v>
      </c>
      <c r="U18" s="140">
        <v>40247323</v>
      </c>
      <c r="V18" s="140">
        <v>35408368</v>
      </c>
      <c r="W18" s="140">
        <v>34641026</v>
      </c>
      <c r="X18" s="140">
        <v>40352181</v>
      </c>
      <c r="Y18" s="140">
        <v>39427645</v>
      </c>
      <c r="Z18" s="140">
        <v>38353541</v>
      </c>
      <c r="AA18" s="140">
        <v>38716252</v>
      </c>
      <c r="AB18" s="140">
        <v>38382957</v>
      </c>
      <c r="AC18" s="132">
        <f t="shared" si="3"/>
        <v>461658821</v>
      </c>
      <c r="AD18" s="140">
        <v>35853540</v>
      </c>
      <c r="AE18" s="140">
        <v>38418754</v>
      </c>
      <c r="AF18" s="140">
        <v>43003192</v>
      </c>
      <c r="AG18" s="140">
        <v>38854042</v>
      </c>
      <c r="AH18" s="140">
        <v>40247323</v>
      </c>
      <c r="AI18" s="140">
        <v>35408368</v>
      </c>
      <c r="AJ18" s="140">
        <v>34641026</v>
      </c>
      <c r="AK18" s="140">
        <v>40352181</v>
      </c>
      <c r="AL18" s="140">
        <v>39427645</v>
      </c>
      <c r="AM18" s="140">
        <v>38353541</v>
      </c>
      <c r="AN18" s="140">
        <v>38716252</v>
      </c>
      <c r="AO18" s="140">
        <v>38382957</v>
      </c>
      <c r="AP18" s="133">
        <f t="shared" si="4"/>
        <v>461658821</v>
      </c>
      <c r="AQ18" s="27">
        <f t="shared" si="5"/>
        <v>2807933</v>
      </c>
      <c r="AR18" s="27">
        <f t="shared" si="6"/>
        <v>0</v>
      </c>
      <c r="AS18" s="27">
        <f t="shared" si="7"/>
        <v>0</v>
      </c>
      <c r="AT18" s="200">
        <f t="shared" si="8"/>
        <v>0.993954501639099</v>
      </c>
    </row>
    <row r="19" spans="1:46" s="27" customFormat="1" ht="12.75">
      <c r="A19" s="54" t="s">
        <v>205</v>
      </c>
      <c r="B19" s="139" t="s">
        <v>187</v>
      </c>
      <c r="C19" s="140">
        <f>94987000+3500000</f>
        <v>98487000</v>
      </c>
      <c r="D19" s="140">
        <v>6695125</v>
      </c>
      <c r="E19" s="140">
        <v>6587900</v>
      </c>
      <c r="F19" s="140">
        <v>10522155</v>
      </c>
      <c r="G19" s="140">
        <v>8311370</v>
      </c>
      <c r="H19" s="140">
        <v>7960791</v>
      </c>
      <c r="I19" s="140">
        <v>8311370</v>
      </c>
      <c r="J19" s="140">
        <v>8311370</v>
      </c>
      <c r="K19" s="140">
        <v>8311370</v>
      </c>
      <c r="L19" s="140">
        <v>8311370</v>
      </c>
      <c r="M19" s="140">
        <v>8311370</v>
      </c>
      <c r="N19" s="140">
        <v>8311370</v>
      </c>
      <c r="O19" s="140">
        <v>7990997</v>
      </c>
      <c r="P19" s="132">
        <f t="shared" si="2"/>
        <v>97936558</v>
      </c>
      <c r="Q19" s="140">
        <v>6695125</v>
      </c>
      <c r="R19" s="140">
        <v>6587900</v>
      </c>
      <c r="S19" s="140">
        <v>10522155</v>
      </c>
      <c r="T19" s="140">
        <v>8311370</v>
      </c>
      <c r="U19" s="140">
        <v>7960791</v>
      </c>
      <c r="V19" s="140">
        <v>8311370</v>
      </c>
      <c r="W19" s="140">
        <v>8311370</v>
      </c>
      <c r="X19" s="140">
        <v>8311370</v>
      </c>
      <c r="Y19" s="140">
        <v>8311370</v>
      </c>
      <c r="Z19" s="140">
        <v>8311370</v>
      </c>
      <c r="AA19" s="140">
        <v>8311370</v>
      </c>
      <c r="AB19" s="140">
        <v>7990997</v>
      </c>
      <c r="AC19" s="132">
        <f t="shared" si="3"/>
        <v>97936558</v>
      </c>
      <c r="AD19" s="140">
        <v>6695125</v>
      </c>
      <c r="AE19" s="140">
        <v>6587900</v>
      </c>
      <c r="AF19" s="140">
        <v>10522155</v>
      </c>
      <c r="AG19" s="140">
        <v>8311370</v>
      </c>
      <c r="AH19" s="140">
        <v>7960791</v>
      </c>
      <c r="AI19" s="140">
        <v>8311370</v>
      </c>
      <c r="AJ19" s="140">
        <v>8311370</v>
      </c>
      <c r="AK19" s="140">
        <v>8311370</v>
      </c>
      <c r="AL19" s="140">
        <v>8311370</v>
      </c>
      <c r="AM19" s="140">
        <v>8311370</v>
      </c>
      <c r="AN19" s="140">
        <v>8311370</v>
      </c>
      <c r="AO19" s="140">
        <v>7990997</v>
      </c>
      <c r="AP19" s="133">
        <f t="shared" si="4"/>
        <v>97936558</v>
      </c>
      <c r="AQ19" s="27">
        <f t="shared" si="5"/>
        <v>550442</v>
      </c>
      <c r="AR19" s="27">
        <f t="shared" si="6"/>
        <v>0</v>
      </c>
      <c r="AS19" s="27">
        <f t="shared" si="7"/>
        <v>0</v>
      </c>
      <c r="AT19" s="200">
        <f t="shared" si="8"/>
        <v>0.9944110187131296</v>
      </c>
    </row>
    <row r="20" spans="1:46" s="27" customFormat="1" ht="12.75">
      <c r="A20" s="54" t="s">
        <v>208</v>
      </c>
      <c r="B20" s="139" t="s">
        <v>206</v>
      </c>
      <c r="C20" s="140">
        <v>64467000</v>
      </c>
      <c r="D20" s="140">
        <v>4019346</v>
      </c>
      <c r="E20" s="140">
        <v>5368523</v>
      </c>
      <c r="F20" s="140">
        <v>5886043</v>
      </c>
      <c r="G20" s="140">
        <v>5354431</v>
      </c>
      <c r="H20" s="140">
        <v>5509615</v>
      </c>
      <c r="I20" s="140">
        <v>5126751</v>
      </c>
      <c r="J20" s="140">
        <v>5087106</v>
      </c>
      <c r="K20" s="140">
        <v>5309684</v>
      </c>
      <c r="L20" s="140">
        <v>5344237</v>
      </c>
      <c r="M20" s="140">
        <v>5442786</v>
      </c>
      <c r="N20" s="140">
        <v>5232094</v>
      </c>
      <c r="O20" s="140">
        <v>4877568</v>
      </c>
      <c r="P20" s="132">
        <f t="shared" si="2"/>
        <v>62558184</v>
      </c>
      <c r="Q20" s="140">
        <v>4019346</v>
      </c>
      <c r="R20" s="140">
        <v>5368523</v>
      </c>
      <c r="S20" s="140">
        <v>5886043</v>
      </c>
      <c r="T20" s="140">
        <v>5354431</v>
      </c>
      <c r="U20" s="140">
        <v>5509615</v>
      </c>
      <c r="V20" s="140">
        <v>5126751</v>
      </c>
      <c r="W20" s="140">
        <v>5085404</v>
      </c>
      <c r="X20" s="140">
        <v>5311386</v>
      </c>
      <c r="Y20" s="140">
        <v>5344237</v>
      </c>
      <c r="Z20" s="140">
        <v>5442786</v>
      </c>
      <c r="AA20" s="140">
        <v>5232094</v>
      </c>
      <c r="AB20" s="140">
        <v>4877568</v>
      </c>
      <c r="AC20" s="132">
        <f t="shared" si="3"/>
        <v>62558184</v>
      </c>
      <c r="AD20" s="140">
        <v>4019346</v>
      </c>
      <c r="AE20" s="140">
        <v>5351532</v>
      </c>
      <c r="AF20" s="140">
        <v>5886043</v>
      </c>
      <c r="AG20" s="140">
        <v>5371422</v>
      </c>
      <c r="AH20" s="140">
        <v>5509615</v>
      </c>
      <c r="AI20" s="140">
        <v>5126751</v>
      </c>
      <c r="AJ20" s="140">
        <v>5085404</v>
      </c>
      <c r="AK20" s="140">
        <v>5311386</v>
      </c>
      <c r="AL20" s="140">
        <v>5344237</v>
      </c>
      <c r="AM20" s="140">
        <v>5442786</v>
      </c>
      <c r="AN20" s="140">
        <v>5232094</v>
      </c>
      <c r="AO20" s="140">
        <v>4877568</v>
      </c>
      <c r="AP20" s="133">
        <f t="shared" si="4"/>
        <v>62558184</v>
      </c>
      <c r="AQ20" s="27">
        <f t="shared" si="5"/>
        <v>1908816</v>
      </c>
      <c r="AR20" s="27">
        <f t="shared" si="6"/>
        <v>0</v>
      </c>
      <c r="AS20" s="27">
        <f t="shared" si="7"/>
        <v>0</v>
      </c>
      <c r="AT20" s="200">
        <f t="shared" si="8"/>
        <v>0.9703908045977011</v>
      </c>
    </row>
    <row r="21" spans="1:46" s="27" customFormat="1" ht="12.75">
      <c r="A21" s="54" t="s">
        <v>209</v>
      </c>
      <c r="B21" s="139" t="s">
        <v>207</v>
      </c>
      <c r="C21" s="140">
        <v>57138000</v>
      </c>
      <c r="D21" s="140">
        <v>4337520</v>
      </c>
      <c r="E21" s="140">
        <v>4962390</v>
      </c>
      <c r="F21" s="140">
        <v>4940130</v>
      </c>
      <c r="G21" s="140">
        <v>4940130</v>
      </c>
      <c r="H21" s="140">
        <v>4979880</v>
      </c>
      <c r="I21" s="140">
        <v>4688910</v>
      </c>
      <c r="J21" s="140">
        <v>4583970</v>
      </c>
      <c r="K21" s="140">
        <v>4774770</v>
      </c>
      <c r="L21" s="140">
        <v>4887660</v>
      </c>
      <c r="M21" s="140">
        <v>4929000</v>
      </c>
      <c r="N21" s="140">
        <v>4676190</v>
      </c>
      <c r="O21" s="140">
        <v>4359780</v>
      </c>
      <c r="P21" s="132">
        <f t="shared" si="2"/>
        <v>57060330</v>
      </c>
      <c r="Q21" s="140">
        <v>4337520</v>
      </c>
      <c r="R21" s="140">
        <v>4962390</v>
      </c>
      <c r="S21" s="140">
        <v>4940130</v>
      </c>
      <c r="T21" s="140">
        <v>4940130</v>
      </c>
      <c r="U21" s="140">
        <v>4979880</v>
      </c>
      <c r="V21" s="140">
        <v>4688910</v>
      </c>
      <c r="W21" s="140">
        <v>4583970</v>
      </c>
      <c r="X21" s="140">
        <v>4774770</v>
      </c>
      <c r="Y21" s="140">
        <v>4887660</v>
      </c>
      <c r="Z21" s="140">
        <v>4929000</v>
      </c>
      <c r="AA21" s="140">
        <v>4676190</v>
      </c>
      <c r="AB21" s="140">
        <v>4359780</v>
      </c>
      <c r="AC21" s="132">
        <f t="shared" si="3"/>
        <v>57060330</v>
      </c>
      <c r="AD21" s="140">
        <v>4337520</v>
      </c>
      <c r="AE21" s="140">
        <v>4938540</v>
      </c>
      <c r="AF21" s="140">
        <v>4940130</v>
      </c>
      <c r="AG21" s="140">
        <v>4963980</v>
      </c>
      <c r="AH21" s="140">
        <v>4979880</v>
      </c>
      <c r="AI21" s="140">
        <v>4688910</v>
      </c>
      <c r="AJ21" s="140">
        <v>4583970</v>
      </c>
      <c r="AK21" s="140">
        <v>4774770</v>
      </c>
      <c r="AL21" s="140">
        <v>4887660</v>
      </c>
      <c r="AM21" s="140">
        <v>4929000</v>
      </c>
      <c r="AN21" s="140">
        <v>4676190</v>
      </c>
      <c r="AO21" s="140">
        <v>4359780</v>
      </c>
      <c r="AP21" s="133">
        <f t="shared" si="4"/>
        <v>57060330</v>
      </c>
      <c r="AQ21" s="27">
        <f t="shared" si="5"/>
        <v>77670</v>
      </c>
      <c r="AR21" s="27">
        <f t="shared" si="6"/>
        <v>0</v>
      </c>
      <c r="AS21" s="27">
        <f t="shared" si="7"/>
        <v>0</v>
      </c>
      <c r="AT21" s="200">
        <f t="shared" si="8"/>
        <v>0.9986406594560537</v>
      </c>
    </row>
    <row r="22" spans="1:46" s="27" customFormat="1" ht="12.75">
      <c r="A22" s="54" t="s">
        <v>210</v>
      </c>
      <c r="B22" s="139" t="s">
        <v>188</v>
      </c>
      <c r="C22" s="140">
        <f>372313000+10000000</f>
        <v>382313000</v>
      </c>
      <c r="D22" s="140">
        <v>0</v>
      </c>
      <c r="E22" s="140">
        <v>2550195</v>
      </c>
      <c r="F22" s="140">
        <v>498954</v>
      </c>
      <c r="G22" s="140">
        <v>0</v>
      </c>
      <c r="H22" s="140">
        <v>0</v>
      </c>
      <c r="I22" s="140">
        <v>3408088</v>
      </c>
      <c r="J22" s="140">
        <v>375127178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2">
        <f t="shared" si="2"/>
        <v>381584415</v>
      </c>
      <c r="Q22" s="140">
        <v>0</v>
      </c>
      <c r="R22" s="140">
        <v>0</v>
      </c>
      <c r="S22" s="140">
        <v>3049149</v>
      </c>
      <c r="T22" s="140">
        <v>0</v>
      </c>
      <c r="U22" s="140">
        <v>0</v>
      </c>
      <c r="V22" s="140">
        <v>3408088</v>
      </c>
      <c r="W22" s="140">
        <v>375127178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32">
        <f t="shared" si="3"/>
        <v>381584415</v>
      </c>
      <c r="AD22" s="140">
        <v>0</v>
      </c>
      <c r="AE22" s="140">
        <v>0</v>
      </c>
      <c r="AF22" s="140">
        <v>3049149</v>
      </c>
      <c r="AG22" s="140">
        <v>0</v>
      </c>
      <c r="AH22" s="140">
        <v>0</v>
      </c>
      <c r="AI22" s="140">
        <v>3408088</v>
      </c>
      <c r="AJ22" s="140">
        <v>375127178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33">
        <f t="shared" si="4"/>
        <v>381584415</v>
      </c>
      <c r="AQ22" s="27">
        <f t="shared" si="5"/>
        <v>728585</v>
      </c>
      <c r="AR22" s="27">
        <f t="shared" si="6"/>
        <v>0</v>
      </c>
      <c r="AS22" s="27">
        <f t="shared" si="7"/>
        <v>0</v>
      </c>
      <c r="AT22" s="200">
        <f t="shared" si="8"/>
        <v>0.9980942709246089</v>
      </c>
    </row>
    <row r="23" spans="1:46" s="27" customFormat="1" ht="12.75">
      <c r="A23" s="54" t="s">
        <v>211</v>
      </c>
      <c r="B23" s="139" t="s">
        <v>190</v>
      </c>
      <c r="C23" s="140">
        <f>387826450+12996136</f>
        <v>400822586</v>
      </c>
      <c r="D23" s="140">
        <v>26114229</v>
      </c>
      <c r="E23" s="140">
        <v>23468131</v>
      </c>
      <c r="F23" s="140">
        <v>32599451</v>
      </c>
      <c r="G23" s="140">
        <v>19167752</v>
      </c>
      <c r="H23" s="140">
        <v>13518894</v>
      </c>
      <c r="I23" s="140">
        <v>86929362</v>
      </c>
      <c r="J23" s="140">
        <v>24090698</v>
      </c>
      <c r="K23" s="140">
        <v>18614466</v>
      </c>
      <c r="L23" s="140">
        <v>12821124</v>
      </c>
      <c r="M23" s="140">
        <v>16741556</v>
      </c>
      <c r="N23" s="140">
        <v>12394204</v>
      </c>
      <c r="O23" s="140">
        <v>114362719</v>
      </c>
      <c r="P23" s="132">
        <f t="shared" si="2"/>
        <v>400822586</v>
      </c>
      <c r="Q23" s="140">
        <v>26114229</v>
      </c>
      <c r="R23" s="140">
        <v>23468131</v>
      </c>
      <c r="S23" s="140">
        <v>31767338</v>
      </c>
      <c r="T23" s="140">
        <v>19999865</v>
      </c>
      <c r="U23" s="140">
        <v>13518894</v>
      </c>
      <c r="V23" s="140">
        <v>86929362</v>
      </c>
      <c r="W23" s="140">
        <v>24090698</v>
      </c>
      <c r="X23" s="140">
        <v>18614466</v>
      </c>
      <c r="Y23" s="140">
        <v>12821124</v>
      </c>
      <c r="Z23" s="140">
        <v>16741556</v>
      </c>
      <c r="AA23" s="140">
        <v>12394204</v>
      </c>
      <c r="AB23" s="140">
        <v>114362719</v>
      </c>
      <c r="AC23" s="132">
        <f t="shared" si="3"/>
        <v>400822586</v>
      </c>
      <c r="AD23" s="140">
        <v>26114229</v>
      </c>
      <c r="AE23" s="140">
        <v>23468131</v>
      </c>
      <c r="AF23" s="140">
        <v>31767338</v>
      </c>
      <c r="AG23" s="140">
        <v>17112427</v>
      </c>
      <c r="AH23" s="140">
        <v>16406332</v>
      </c>
      <c r="AI23" s="140">
        <v>86929362</v>
      </c>
      <c r="AJ23" s="140">
        <v>24090698</v>
      </c>
      <c r="AK23" s="140">
        <v>18614466</v>
      </c>
      <c r="AL23" s="140">
        <v>12821124</v>
      </c>
      <c r="AM23" s="140">
        <v>16741556</v>
      </c>
      <c r="AN23" s="140">
        <v>12394204</v>
      </c>
      <c r="AO23" s="140">
        <v>114362719</v>
      </c>
      <c r="AP23" s="133">
        <f t="shared" si="4"/>
        <v>400822586</v>
      </c>
      <c r="AQ23" s="27">
        <f t="shared" si="5"/>
        <v>0</v>
      </c>
      <c r="AR23" s="27">
        <f t="shared" si="6"/>
        <v>0</v>
      </c>
      <c r="AS23" s="27">
        <f t="shared" si="7"/>
        <v>0</v>
      </c>
      <c r="AT23" s="200">
        <f t="shared" si="8"/>
        <v>1</v>
      </c>
    </row>
    <row r="24" spans="1:46" s="27" customFormat="1" ht="12.75">
      <c r="A24" s="54" t="s">
        <v>212</v>
      </c>
      <c r="B24" s="139" t="s">
        <v>189</v>
      </c>
      <c r="C24" s="140">
        <f>654589000-10000000+194000000-12977976</f>
        <v>825611024</v>
      </c>
      <c r="D24" s="140">
        <v>0</v>
      </c>
      <c r="E24" s="140">
        <v>0</v>
      </c>
      <c r="F24" s="140">
        <v>437969</v>
      </c>
      <c r="G24" s="140">
        <v>0</v>
      </c>
      <c r="H24" s="140">
        <v>0</v>
      </c>
      <c r="I24" s="140">
        <v>2863631</v>
      </c>
      <c r="J24" s="140">
        <v>0</v>
      </c>
      <c r="K24" s="140">
        <v>861355</v>
      </c>
      <c r="L24" s="140">
        <v>2041339</v>
      </c>
      <c r="M24" s="140">
        <v>8128463</v>
      </c>
      <c r="N24" s="140">
        <v>2931742</v>
      </c>
      <c r="O24" s="140">
        <v>808346525</v>
      </c>
      <c r="P24" s="132">
        <f>SUM(D24:O24)</f>
        <v>825611024</v>
      </c>
      <c r="Q24" s="140">
        <v>0</v>
      </c>
      <c r="R24" s="140">
        <v>0</v>
      </c>
      <c r="S24" s="140">
        <v>437969</v>
      </c>
      <c r="T24" s="140">
        <v>0</v>
      </c>
      <c r="U24" s="140">
        <v>0</v>
      </c>
      <c r="V24" s="140">
        <v>2863631</v>
      </c>
      <c r="W24" s="140">
        <v>0</v>
      </c>
      <c r="X24" s="140">
        <v>861355</v>
      </c>
      <c r="Y24" s="140">
        <v>2041339</v>
      </c>
      <c r="Z24" s="140">
        <v>8128463</v>
      </c>
      <c r="AA24" s="140">
        <v>2931742</v>
      </c>
      <c r="AB24" s="140">
        <v>808346525</v>
      </c>
      <c r="AC24" s="132">
        <f t="shared" si="3"/>
        <v>825611024</v>
      </c>
      <c r="AD24" s="140">
        <v>0</v>
      </c>
      <c r="AE24" s="140">
        <v>0</v>
      </c>
      <c r="AF24" s="140">
        <v>437969</v>
      </c>
      <c r="AG24" s="140">
        <v>0</v>
      </c>
      <c r="AH24" s="140">
        <v>0</v>
      </c>
      <c r="AI24" s="140">
        <v>2863631</v>
      </c>
      <c r="AJ24" s="140">
        <v>0</v>
      </c>
      <c r="AK24" s="140">
        <v>861355</v>
      </c>
      <c r="AL24" s="140">
        <v>2041339</v>
      </c>
      <c r="AM24" s="140">
        <v>8128463</v>
      </c>
      <c r="AN24" s="140">
        <v>2931742</v>
      </c>
      <c r="AO24" s="140">
        <v>808346525</v>
      </c>
      <c r="AP24" s="133">
        <f t="shared" si="4"/>
        <v>825611024</v>
      </c>
      <c r="AQ24" s="27">
        <f t="shared" si="5"/>
        <v>0</v>
      </c>
      <c r="AR24" s="27">
        <f t="shared" si="6"/>
        <v>0</v>
      </c>
      <c r="AS24" s="27">
        <f t="shared" si="7"/>
        <v>0</v>
      </c>
      <c r="AT24" s="200">
        <f t="shared" si="8"/>
        <v>1</v>
      </c>
    </row>
    <row r="25" spans="1:46" s="27" customFormat="1" ht="12.75">
      <c r="A25" s="54" t="s">
        <v>213</v>
      </c>
      <c r="B25" s="139" t="s">
        <v>191</v>
      </c>
      <c r="C25" s="140">
        <f>2100000+110000</f>
        <v>2210000</v>
      </c>
      <c r="D25" s="140">
        <v>175041</v>
      </c>
      <c r="E25" s="140">
        <v>179418</v>
      </c>
      <c r="F25" s="140">
        <v>196922</v>
      </c>
      <c r="G25" s="140">
        <v>183794</v>
      </c>
      <c r="H25" s="140">
        <v>183794</v>
      </c>
      <c r="I25" s="140">
        <v>183794</v>
      </c>
      <c r="J25" s="140">
        <v>183794</v>
      </c>
      <c r="K25" s="140">
        <v>0</v>
      </c>
      <c r="L25" s="140">
        <v>367588</v>
      </c>
      <c r="M25" s="140">
        <v>183794</v>
      </c>
      <c r="N25" s="140">
        <v>183794</v>
      </c>
      <c r="O25" s="140">
        <v>171540</v>
      </c>
      <c r="P25" s="132">
        <f t="shared" si="2"/>
        <v>2193273</v>
      </c>
      <c r="Q25" s="140">
        <v>175041</v>
      </c>
      <c r="R25" s="140">
        <v>179418</v>
      </c>
      <c r="S25" s="140">
        <v>196922</v>
      </c>
      <c r="T25" s="140">
        <v>183794</v>
      </c>
      <c r="U25" s="140">
        <v>183794</v>
      </c>
      <c r="V25" s="140">
        <v>183794</v>
      </c>
      <c r="W25" s="140">
        <v>183794</v>
      </c>
      <c r="X25" s="140">
        <v>0</v>
      </c>
      <c r="Y25" s="140">
        <v>367588</v>
      </c>
      <c r="Z25" s="140">
        <v>183794</v>
      </c>
      <c r="AA25" s="140">
        <v>183794</v>
      </c>
      <c r="AB25" s="140">
        <v>171540</v>
      </c>
      <c r="AC25" s="132">
        <f t="shared" si="3"/>
        <v>2193273</v>
      </c>
      <c r="AD25" s="140">
        <v>175041</v>
      </c>
      <c r="AE25" s="140">
        <v>179418</v>
      </c>
      <c r="AF25" s="140">
        <v>196922</v>
      </c>
      <c r="AG25" s="140">
        <v>183794</v>
      </c>
      <c r="AH25" s="140">
        <v>183794</v>
      </c>
      <c r="AI25" s="140">
        <v>183794</v>
      </c>
      <c r="AJ25" s="140">
        <v>183794</v>
      </c>
      <c r="AK25" s="140">
        <v>0</v>
      </c>
      <c r="AL25" s="140">
        <v>367588</v>
      </c>
      <c r="AM25" s="140">
        <v>183794</v>
      </c>
      <c r="AN25" s="140">
        <v>183794</v>
      </c>
      <c r="AO25" s="140">
        <v>171540</v>
      </c>
      <c r="AP25" s="133">
        <f t="shared" si="4"/>
        <v>2193273</v>
      </c>
      <c r="AQ25" s="27">
        <f t="shared" si="5"/>
        <v>16727</v>
      </c>
      <c r="AR25" s="27">
        <f t="shared" si="6"/>
        <v>0</v>
      </c>
      <c r="AS25" s="27">
        <f t="shared" si="7"/>
        <v>0</v>
      </c>
      <c r="AT25" s="200">
        <f t="shared" si="8"/>
        <v>0.992431221719457</v>
      </c>
    </row>
    <row r="26" spans="1:46" s="27" customFormat="1" ht="12.75">
      <c r="A26" s="54" t="s">
        <v>214</v>
      </c>
      <c r="B26" s="139" t="s">
        <v>215</v>
      </c>
      <c r="C26" s="140">
        <f>266945000+8000000-1200000</f>
        <v>273745000</v>
      </c>
      <c r="D26" s="140">
        <v>18780449</v>
      </c>
      <c r="E26" s="140">
        <v>35047659</v>
      </c>
      <c r="F26" s="140">
        <v>22303216</v>
      </c>
      <c r="G26" s="140">
        <v>33948206</v>
      </c>
      <c r="H26" s="140">
        <v>12984510</v>
      </c>
      <c r="I26" s="140">
        <v>19595119</v>
      </c>
      <c r="J26" s="140">
        <v>13369282</v>
      </c>
      <c r="K26" s="140">
        <v>13287530</v>
      </c>
      <c r="L26" s="140">
        <v>34549764</v>
      </c>
      <c r="M26" s="140">
        <v>22801651</v>
      </c>
      <c r="N26" s="140">
        <v>22382762</v>
      </c>
      <c r="O26" s="140">
        <v>23671617</v>
      </c>
      <c r="P26" s="132">
        <f t="shared" si="2"/>
        <v>272721765</v>
      </c>
      <c r="Q26" s="140">
        <v>18780449</v>
      </c>
      <c r="R26" s="140">
        <v>35047659</v>
      </c>
      <c r="S26" s="140">
        <v>22303216</v>
      </c>
      <c r="T26" s="140">
        <v>33948206</v>
      </c>
      <c r="U26" s="140">
        <v>12984510</v>
      </c>
      <c r="V26" s="140">
        <v>19595119</v>
      </c>
      <c r="W26" s="140">
        <v>13345956</v>
      </c>
      <c r="X26" s="140">
        <v>13310856</v>
      </c>
      <c r="Y26" s="140">
        <v>34549764</v>
      </c>
      <c r="Z26" s="140">
        <v>22801651</v>
      </c>
      <c r="AA26" s="140">
        <v>22382762</v>
      </c>
      <c r="AB26" s="140">
        <v>23671617</v>
      </c>
      <c r="AC26" s="132">
        <f t="shared" si="3"/>
        <v>272721765</v>
      </c>
      <c r="AD26" s="140">
        <v>18780449</v>
      </c>
      <c r="AE26" s="140">
        <v>35047659</v>
      </c>
      <c r="AF26" s="140">
        <v>22303216</v>
      </c>
      <c r="AG26" s="140">
        <v>33948206</v>
      </c>
      <c r="AH26" s="140">
        <v>12984510</v>
      </c>
      <c r="AI26" s="140">
        <v>19595119</v>
      </c>
      <c r="AJ26" s="140">
        <v>13345956</v>
      </c>
      <c r="AK26" s="140">
        <v>13310856</v>
      </c>
      <c r="AL26" s="140">
        <v>34549764</v>
      </c>
      <c r="AM26" s="140">
        <v>22801651</v>
      </c>
      <c r="AN26" s="140">
        <v>22382762</v>
      </c>
      <c r="AO26" s="140">
        <v>23671617</v>
      </c>
      <c r="AP26" s="133">
        <f t="shared" si="4"/>
        <v>272721765</v>
      </c>
      <c r="AQ26" s="27">
        <f t="shared" si="5"/>
        <v>1023235</v>
      </c>
      <c r="AR26" s="27">
        <f t="shared" si="6"/>
        <v>0</v>
      </c>
      <c r="AS26" s="27">
        <f t="shared" si="7"/>
        <v>0</v>
      </c>
      <c r="AT26" s="200">
        <f t="shared" si="8"/>
        <v>0.9962620869787576</v>
      </c>
    </row>
    <row r="27" spans="1:46" s="27" customFormat="1" ht="12.75">
      <c r="A27" s="54" t="s">
        <v>216</v>
      </c>
      <c r="B27" s="139" t="s">
        <v>233</v>
      </c>
      <c r="C27" s="140">
        <f>27099000+1000000</f>
        <v>28099000</v>
      </c>
      <c r="D27" s="140">
        <v>1656057</v>
      </c>
      <c r="E27" s="140">
        <v>1561963</v>
      </c>
      <c r="F27" s="140">
        <v>3338459</v>
      </c>
      <c r="G27" s="140">
        <v>2371172</v>
      </c>
      <c r="H27" s="140">
        <v>2371172</v>
      </c>
      <c r="I27" s="140">
        <v>2371172</v>
      </c>
      <c r="J27" s="140">
        <v>2371172</v>
      </c>
      <c r="K27" s="140">
        <v>2371172</v>
      </c>
      <c r="L27" s="140">
        <v>2371172</v>
      </c>
      <c r="M27" s="140">
        <v>2371172</v>
      </c>
      <c r="N27" s="140">
        <v>2371172</v>
      </c>
      <c r="O27" s="140">
        <v>1027508</v>
      </c>
      <c r="P27" s="132">
        <f t="shared" si="2"/>
        <v>26553363</v>
      </c>
      <c r="Q27" s="140">
        <v>1656057</v>
      </c>
      <c r="R27" s="140">
        <v>1561963</v>
      </c>
      <c r="S27" s="140">
        <v>3338459</v>
      </c>
      <c r="T27" s="140">
        <v>2371172</v>
      </c>
      <c r="U27" s="140">
        <v>2371172</v>
      </c>
      <c r="V27" s="140">
        <v>2371172</v>
      </c>
      <c r="W27" s="140">
        <v>2371172</v>
      </c>
      <c r="X27" s="140">
        <v>2371172</v>
      </c>
      <c r="Y27" s="140">
        <v>2371172</v>
      </c>
      <c r="Z27" s="140">
        <v>2371172</v>
      </c>
      <c r="AA27" s="140">
        <v>2371172</v>
      </c>
      <c r="AB27" s="140">
        <v>1027508</v>
      </c>
      <c r="AC27" s="132">
        <f t="shared" si="3"/>
        <v>26553363</v>
      </c>
      <c r="AD27" s="140">
        <v>1656057</v>
      </c>
      <c r="AE27" s="140">
        <v>1561963</v>
      </c>
      <c r="AF27" s="140">
        <v>3338459</v>
      </c>
      <c r="AG27" s="140">
        <v>2371172</v>
      </c>
      <c r="AH27" s="140">
        <v>2371172</v>
      </c>
      <c r="AI27" s="140">
        <v>2371172</v>
      </c>
      <c r="AJ27" s="140">
        <v>2371172</v>
      </c>
      <c r="AK27" s="140">
        <v>2371172</v>
      </c>
      <c r="AL27" s="140">
        <v>2371172</v>
      </c>
      <c r="AM27" s="140">
        <v>2371172</v>
      </c>
      <c r="AN27" s="140">
        <v>2371172</v>
      </c>
      <c r="AO27" s="140">
        <v>1027508</v>
      </c>
      <c r="AP27" s="133">
        <f t="shared" si="4"/>
        <v>26553363</v>
      </c>
      <c r="AQ27" s="27">
        <f t="shared" si="5"/>
        <v>1545637</v>
      </c>
      <c r="AR27" s="27">
        <f t="shared" si="6"/>
        <v>0</v>
      </c>
      <c r="AS27" s="27">
        <f t="shared" si="7"/>
        <v>0</v>
      </c>
      <c r="AT27" s="200">
        <f t="shared" si="8"/>
        <v>0.9449931670166198</v>
      </c>
    </row>
    <row r="28" spans="1:46" s="27" customFormat="1" ht="12.75">
      <c r="A28" s="54" t="s">
        <v>218</v>
      </c>
      <c r="B28" s="139" t="s">
        <v>217</v>
      </c>
      <c r="C28" s="140">
        <f>147716000+10000000-18160</f>
        <v>157697840</v>
      </c>
      <c r="D28" s="140">
        <v>10588320</v>
      </c>
      <c r="E28" s="140">
        <v>13938300</v>
      </c>
      <c r="F28" s="140">
        <v>14340097</v>
      </c>
      <c r="G28" s="140">
        <v>13549769</v>
      </c>
      <c r="H28" s="140">
        <v>12993676</v>
      </c>
      <c r="I28" s="140">
        <v>12738455</v>
      </c>
      <c r="J28" s="140">
        <v>12685681</v>
      </c>
      <c r="K28" s="140">
        <v>12973719</v>
      </c>
      <c r="L28" s="140">
        <v>13499308</v>
      </c>
      <c r="M28" s="140">
        <v>13338695</v>
      </c>
      <c r="N28" s="140">
        <v>12689266</v>
      </c>
      <c r="O28" s="140">
        <v>12228083</v>
      </c>
      <c r="P28" s="132">
        <f t="shared" si="2"/>
        <v>155563369</v>
      </c>
      <c r="Q28" s="140">
        <v>10588320</v>
      </c>
      <c r="R28" s="140">
        <v>13938300</v>
      </c>
      <c r="S28" s="140">
        <v>14340097</v>
      </c>
      <c r="T28" s="140">
        <v>13549769</v>
      </c>
      <c r="U28" s="140">
        <v>12993676</v>
      </c>
      <c r="V28" s="140">
        <v>12738455</v>
      </c>
      <c r="W28" s="140">
        <v>12685681</v>
      </c>
      <c r="X28" s="140">
        <v>12973719</v>
      </c>
      <c r="Y28" s="140">
        <v>13499308</v>
      </c>
      <c r="Z28" s="140">
        <v>13338695</v>
      </c>
      <c r="AA28" s="140">
        <v>12689266</v>
      </c>
      <c r="AB28" s="140">
        <v>12228083</v>
      </c>
      <c r="AC28" s="132">
        <f t="shared" si="3"/>
        <v>155563369</v>
      </c>
      <c r="AD28" s="140">
        <v>10588320</v>
      </c>
      <c r="AE28" s="140">
        <v>13938300</v>
      </c>
      <c r="AF28" s="140">
        <v>14340097</v>
      </c>
      <c r="AG28" s="140">
        <v>13549769</v>
      </c>
      <c r="AH28" s="140">
        <v>12993676</v>
      </c>
      <c r="AI28" s="140">
        <v>12738455</v>
      </c>
      <c r="AJ28" s="140">
        <v>12685681</v>
      </c>
      <c r="AK28" s="140">
        <v>12973719</v>
      </c>
      <c r="AL28" s="140">
        <v>13499308</v>
      </c>
      <c r="AM28" s="140">
        <v>13338695</v>
      </c>
      <c r="AN28" s="140">
        <v>12689266</v>
      </c>
      <c r="AO28" s="140">
        <v>12228083</v>
      </c>
      <c r="AP28" s="133">
        <f t="shared" si="4"/>
        <v>155563369</v>
      </c>
      <c r="AQ28" s="27">
        <f t="shared" si="5"/>
        <v>2134471</v>
      </c>
      <c r="AR28" s="27">
        <f t="shared" si="6"/>
        <v>0</v>
      </c>
      <c r="AS28" s="27">
        <f t="shared" si="7"/>
        <v>0</v>
      </c>
      <c r="AT28" s="200">
        <f t="shared" si="8"/>
        <v>0.9864648050981548</v>
      </c>
    </row>
    <row r="29" spans="1:46" s="27" customFormat="1" ht="12.75">
      <c r="A29" s="54" t="s">
        <v>219</v>
      </c>
      <c r="B29" s="139" t="s">
        <v>192</v>
      </c>
      <c r="C29" s="140">
        <f>46831000+1200000</f>
        <v>48031000</v>
      </c>
      <c r="D29" s="140">
        <v>2906298</v>
      </c>
      <c r="E29" s="140">
        <v>2888883</v>
      </c>
      <c r="F29" s="140">
        <v>3603138</v>
      </c>
      <c r="G29" s="140">
        <v>2157047</v>
      </c>
      <c r="H29" s="140">
        <v>1635613</v>
      </c>
      <c r="I29" s="140">
        <v>10681236</v>
      </c>
      <c r="J29" s="140">
        <v>2943273</v>
      </c>
      <c r="K29" s="140">
        <v>2240404</v>
      </c>
      <c r="L29" s="140">
        <v>1535779</v>
      </c>
      <c r="M29" s="140">
        <v>2044017</v>
      </c>
      <c r="N29" s="140">
        <v>1492335</v>
      </c>
      <c r="O29" s="140">
        <v>13532008</v>
      </c>
      <c r="P29" s="132">
        <f t="shared" si="2"/>
        <v>47660031</v>
      </c>
      <c r="Q29" s="140">
        <v>2906298</v>
      </c>
      <c r="R29" s="140">
        <v>2888883</v>
      </c>
      <c r="S29" s="140">
        <v>3509566</v>
      </c>
      <c r="T29" s="140">
        <v>2250619</v>
      </c>
      <c r="U29" s="140">
        <v>1635613</v>
      </c>
      <c r="V29" s="140">
        <v>10681236</v>
      </c>
      <c r="W29" s="140">
        <v>2943273</v>
      </c>
      <c r="X29" s="140">
        <v>2240404</v>
      </c>
      <c r="Y29" s="140">
        <v>1535779</v>
      </c>
      <c r="Z29" s="140">
        <v>2044017</v>
      </c>
      <c r="AA29" s="140">
        <v>1492335</v>
      </c>
      <c r="AB29" s="140">
        <v>13532008</v>
      </c>
      <c r="AC29" s="132">
        <f t="shared" si="3"/>
        <v>47660031</v>
      </c>
      <c r="AD29" s="140">
        <v>2906298</v>
      </c>
      <c r="AE29" s="140">
        <v>2888883</v>
      </c>
      <c r="AF29" s="140">
        <v>3509566</v>
      </c>
      <c r="AG29" s="140">
        <v>2119152</v>
      </c>
      <c r="AH29" s="140">
        <v>1767080</v>
      </c>
      <c r="AI29" s="140">
        <v>10681236</v>
      </c>
      <c r="AJ29" s="140">
        <v>2943273</v>
      </c>
      <c r="AK29" s="140">
        <v>2240404</v>
      </c>
      <c r="AL29" s="140">
        <v>1535779</v>
      </c>
      <c r="AM29" s="140">
        <v>2044017</v>
      </c>
      <c r="AN29" s="140">
        <v>1492335</v>
      </c>
      <c r="AO29" s="140">
        <v>13532008</v>
      </c>
      <c r="AP29" s="133">
        <f t="shared" si="4"/>
        <v>47660031</v>
      </c>
      <c r="AQ29" s="27">
        <f t="shared" si="5"/>
        <v>370969</v>
      </c>
      <c r="AR29" s="27">
        <f t="shared" si="6"/>
        <v>0</v>
      </c>
      <c r="AS29" s="27">
        <f t="shared" si="7"/>
        <v>0</v>
      </c>
      <c r="AT29" s="200">
        <f t="shared" si="8"/>
        <v>0.9922764672815473</v>
      </c>
    </row>
    <row r="30" spans="1:46" s="27" customFormat="1" ht="12.75">
      <c r="A30" s="54" t="s">
        <v>220</v>
      </c>
      <c r="B30" s="139" t="s">
        <v>193</v>
      </c>
      <c r="C30" s="140">
        <f>155394000+8000000</f>
        <v>163394000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81581892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81581892</v>
      </c>
      <c r="P30" s="132">
        <f t="shared" si="2"/>
        <v>163163784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81581892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81581892</v>
      </c>
      <c r="AC30" s="132">
        <f t="shared" si="3"/>
        <v>163163784</v>
      </c>
      <c r="AD30" s="140">
        <v>0</v>
      </c>
      <c r="AE30" s="140">
        <v>0</v>
      </c>
      <c r="AF30" s="140">
        <v>0</v>
      </c>
      <c r="AG30" s="140">
        <v>0</v>
      </c>
      <c r="AH30" s="140">
        <v>0</v>
      </c>
      <c r="AI30" s="140">
        <v>81581892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81581892</v>
      </c>
      <c r="AP30" s="133">
        <f t="shared" si="4"/>
        <v>163163784</v>
      </c>
      <c r="AQ30" s="27">
        <f t="shared" si="5"/>
        <v>230216</v>
      </c>
      <c r="AR30" s="27">
        <f t="shared" si="6"/>
        <v>0</v>
      </c>
      <c r="AS30" s="27">
        <f t="shared" si="7"/>
        <v>0</v>
      </c>
      <c r="AT30" s="200">
        <f t="shared" si="8"/>
        <v>0.9985910376146003</v>
      </c>
    </row>
    <row r="31" spans="1:46" s="27" customFormat="1" ht="12.75">
      <c r="A31" s="54" t="s">
        <v>221</v>
      </c>
      <c r="B31" s="139" t="s">
        <v>194</v>
      </c>
      <c r="C31" s="140">
        <f>29018153+373223</f>
        <v>29391376</v>
      </c>
      <c r="D31" s="140">
        <v>0</v>
      </c>
      <c r="E31" s="140">
        <v>771650</v>
      </c>
      <c r="F31" s="140">
        <v>2851638</v>
      </c>
      <c r="G31" s="140">
        <v>2967990</v>
      </c>
      <c r="H31" s="140">
        <v>2773762</v>
      </c>
      <c r="I31" s="140">
        <v>2721463</v>
      </c>
      <c r="J31" s="140">
        <v>0</v>
      </c>
      <c r="K31" s="140">
        <v>5044917</v>
      </c>
      <c r="L31" s="140">
        <v>3093768</v>
      </c>
      <c r="M31" s="140">
        <v>2983867</v>
      </c>
      <c r="N31" s="140">
        <v>2354500</v>
      </c>
      <c r="O31" s="140">
        <v>3827821</v>
      </c>
      <c r="P31" s="132">
        <f t="shared" si="2"/>
        <v>29391376</v>
      </c>
      <c r="Q31" s="140">
        <v>0</v>
      </c>
      <c r="R31" s="140">
        <v>771650</v>
      </c>
      <c r="S31" s="140">
        <v>2851638</v>
      </c>
      <c r="T31" s="140">
        <v>2967990</v>
      </c>
      <c r="U31" s="140">
        <v>2773762</v>
      </c>
      <c r="V31" s="140">
        <v>2721463</v>
      </c>
      <c r="W31" s="140">
        <v>0</v>
      </c>
      <c r="X31" s="140">
        <v>5044917</v>
      </c>
      <c r="Y31" s="140">
        <v>3093768</v>
      </c>
      <c r="Z31" s="140">
        <v>2983867</v>
      </c>
      <c r="AA31" s="140">
        <v>2354500</v>
      </c>
      <c r="AB31" s="140">
        <v>3827821</v>
      </c>
      <c r="AC31" s="132">
        <f t="shared" si="3"/>
        <v>29391376</v>
      </c>
      <c r="AD31" s="140">
        <v>0</v>
      </c>
      <c r="AE31" s="140">
        <v>771650</v>
      </c>
      <c r="AF31" s="140">
        <v>2851638</v>
      </c>
      <c r="AG31" s="140">
        <v>2967990</v>
      </c>
      <c r="AH31" s="140">
        <v>2773762</v>
      </c>
      <c r="AI31" s="140">
        <v>2721463</v>
      </c>
      <c r="AJ31" s="140">
        <v>0</v>
      </c>
      <c r="AK31" s="140">
        <v>5044917</v>
      </c>
      <c r="AL31" s="140">
        <v>3093768</v>
      </c>
      <c r="AM31" s="140">
        <v>2983867</v>
      </c>
      <c r="AN31" s="140">
        <v>2354500</v>
      </c>
      <c r="AO31" s="140">
        <v>3827821</v>
      </c>
      <c r="AP31" s="133">
        <f t="shared" si="4"/>
        <v>29391376</v>
      </c>
      <c r="AQ31" s="27">
        <f t="shared" si="5"/>
        <v>0</v>
      </c>
      <c r="AR31" s="27">
        <f t="shared" si="6"/>
        <v>0</v>
      </c>
      <c r="AS31" s="27">
        <f t="shared" si="7"/>
        <v>0</v>
      </c>
      <c r="AT31" s="200">
        <f t="shared" si="8"/>
        <v>1</v>
      </c>
    </row>
    <row r="32" spans="1:46" s="27" customFormat="1" ht="12.75">
      <c r="A32" s="54" t="s">
        <v>222</v>
      </c>
      <c r="B32" s="139" t="s">
        <v>195</v>
      </c>
      <c r="C32" s="140">
        <f>3200000-652307</f>
        <v>2547693</v>
      </c>
      <c r="D32" s="140">
        <v>0</v>
      </c>
      <c r="E32" s="140">
        <v>2024876</v>
      </c>
      <c r="F32" s="140">
        <v>0</v>
      </c>
      <c r="G32" s="140">
        <v>0</v>
      </c>
      <c r="H32" s="140">
        <v>0</v>
      </c>
      <c r="I32" s="140">
        <v>193125</v>
      </c>
      <c r="J32" s="140">
        <v>0</v>
      </c>
      <c r="K32" s="140">
        <v>0</v>
      </c>
      <c r="L32" s="140">
        <v>138474</v>
      </c>
      <c r="M32" s="140">
        <v>0</v>
      </c>
      <c r="N32" s="140">
        <v>161448</v>
      </c>
      <c r="O32" s="140">
        <v>14621</v>
      </c>
      <c r="P32" s="132">
        <f t="shared" si="2"/>
        <v>2532544</v>
      </c>
      <c r="Q32" s="140">
        <v>0</v>
      </c>
      <c r="R32" s="140">
        <v>2024876</v>
      </c>
      <c r="S32" s="140">
        <v>0</v>
      </c>
      <c r="T32" s="140">
        <v>0</v>
      </c>
      <c r="U32" s="140">
        <v>0</v>
      </c>
      <c r="V32" s="140">
        <v>193125</v>
      </c>
      <c r="W32" s="140">
        <v>0</v>
      </c>
      <c r="X32" s="140">
        <v>0</v>
      </c>
      <c r="Y32" s="140">
        <v>138474</v>
      </c>
      <c r="Z32" s="140">
        <v>0</v>
      </c>
      <c r="AA32" s="140">
        <v>161448</v>
      </c>
      <c r="AB32" s="140">
        <v>14621</v>
      </c>
      <c r="AC32" s="132">
        <f t="shared" si="3"/>
        <v>2532544</v>
      </c>
      <c r="AD32" s="140">
        <v>0</v>
      </c>
      <c r="AE32" s="140">
        <v>2024876</v>
      </c>
      <c r="AF32" s="140">
        <v>0</v>
      </c>
      <c r="AG32" s="140">
        <v>0</v>
      </c>
      <c r="AH32" s="140">
        <v>0</v>
      </c>
      <c r="AI32" s="140">
        <v>193125</v>
      </c>
      <c r="AJ32" s="140">
        <v>0</v>
      </c>
      <c r="AK32" s="140">
        <v>0</v>
      </c>
      <c r="AL32" s="140">
        <v>138474</v>
      </c>
      <c r="AM32" s="140">
        <v>0</v>
      </c>
      <c r="AN32" s="140">
        <v>161448</v>
      </c>
      <c r="AO32" s="140">
        <v>14621</v>
      </c>
      <c r="AP32" s="133">
        <f t="shared" si="4"/>
        <v>2532544</v>
      </c>
      <c r="AQ32" s="27">
        <f t="shared" si="5"/>
        <v>15149</v>
      </c>
      <c r="AR32" s="27">
        <f t="shared" si="6"/>
        <v>0</v>
      </c>
      <c r="AS32" s="27">
        <f t="shared" si="7"/>
        <v>0</v>
      </c>
      <c r="AT32" s="200">
        <f t="shared" si="8"/>
        <v>0.9940538361568682</v>
      </c>
    </row>
    <row r="33" spans="1:46" s="27" customFormat="1" ht="12.75">
      <c r="A33" s="54" t="s">
        <v>223</v>
      </c>
      <c r="B33" s="130" t="s">
        <v>152</v>
      </c>
      <c r="C33" s="131">
        <f>50000000+279084</f>
        <v>50279084</v>
      </c>
      <c r="D33" s="131">
        <v>0</v>
      </c>
      <c r="E33" s="131">
        <v>3762979</v>
      </c>
      <c r="F33" s="131">
        <v>9625855</v>
      </c>
      <c r="G33" s="131">
        <v>2855306</v>
      </c>
      <c r="H33" s="131">
        <v>0</v>
      </c>
      <c r="I33" s="131">
        <v>3003095</v>
      </c>
      <c r="J33" s="131">
        <v>852538</v>
      </c>
      <c r="K33" s="131">
        <v>793101</v>
      </c>
      <c r="L33" s="131">
        <v>1113004</v>
      </c>
      <c r="M33" s="131">
        <v>12707539</v>
      </c>
      <c r="N33" s="131">
        <v>1704510</v>
      </c>
      <c r="O33" s="131">
        <v>12813033</v>
      </c>
      <c r="P33" s="132">
        <f t="shared" si="2"/>
        <v>49230960</v>
      </c>
      <c r="Q33" s="131">
        <v>0</v>
      </c>
      <c r="R33" s="131">
        <v>3762979</v>
      </c>
      <c r="S33" s="131">
        <v>8433102</v>
      </c>
      <c r="T33" s="131">
        <v>4048059</v>
      </c>
      <c r="U33" s="131">
        <v>0</v>
      </c>
      <c r="V33" s="131">
        <v>3003095</v>
      </c>
      <c r="W33" s="131">
        <v>852538</v>
      </c>
      <c r="X33" s="131">
        <v>793101</v>
      </c>
      <c r="Y33" s="131">
        <v>1113004</v>
      </c>
      <c r="Z33" s="131">
        <v>12707539</v>
      </c>
      <c r="AA33" s="131">
        <v>1704510</v>
      </c>
      <c r="AB33" s="131">
        <v>12813033</v>
      </c>
      <c r="AC33" s="132">
        <f t="shared" si="3"/>
        <v>49230960</v>
      </c>
      <c r="AD33" s="131">
        <v>0</v>
      </c>
      <c r="AE33" s="131">
        <v>0</v>
      </c>
      <c r="AF33" s="131">
        <v>12196081</v>
      </c>
      <c r="AG33" s="131">
        <v>943973</v>
      </c>
      <c r="AH33" s="131">
        <v>3104086</v>
      </c>
      <c r="AI33" s="131">
        <v>3003095</v>
      </c>
      <c r="AJ33" s="131">
        <v>852538</v>
      </c>
      <c r="AK33" s="131">
        <v>793101</v>
      </c>
      <c r="AL33" s="131">
        <v>1113004</v>
      </c>
      <c r="AM33" s="131">
        <v>12707539</v>
      </c>
      <c r="AN33" s="131">
        <v>1704510</v>
      </c>
      <c r="AO33" s="131">
        <v>12813033</v>
      </c>
      <c r="AP33" s="133">
        <f t="shared" si="4"/>
        <v>49230960</v>
      </c>
      <c r="AQ33" s="27">
        <f t="shared" si="5"/>
        <v>1048124</v>
      </c>
      <c r="AR33" s="27">
        <f t="shared" si="6"/>
        <v>0</v>
      </c>
      <c r="AS33" s="27">
        <f t="shared" si="7"/>
        <v>0</v>
      </c>
      <c r="AT33" s="200">
        <f t="shared" si="8"/>
        <v>0.9791538763912246</v>
      </c>
    </row>
    <row r="34" spans="1:46" s="27" customFormat="1" ht="12.75">
      <c r="A34" s="54" t="s">
        <v>224</v>
      </c>
      <c r="B34" s="130" t="s">
        <v>196</v>
      </c>
      <c r="C34" s="143">
        <f>150000000+30000000</f>
        <v>180000000</v>
      </c>
      <c r="D34" s="131">
        <v>136630000</v>
      </c>
      <c r="E34" s="131">
        <v>0</v>
      </c>
      <c r="F34" s="131">
        <v>3750000</v>
      </c>
      <c r="G34" s="131">
        <v>0</v>
      </c>
      <c r="H34" s="131">
        <v>0</v>
      </c>
      <c r="I34" s="131">
        <v>16875000</v>
      </c>
      <c r="J34" s="131">
        <v>0</v>
      </c>
      <c r="K34" s="131">
        <v>0</v>
      </c>
      <c r="L34" s="131">
        <v>0</v>
      </c>
      <c r="M34" s="131">
        <v>18550000</v>
      </c>
      <c r="N34" s="131">
        <v>0</v>
      </c>
      <c r="O34" s="131">
        <v>3735437</v>
      </c>
      <c r="P34" s="132">
        <f t="shared" si="2"/>
        <v>179540437</v>
      </c>
      <c r="Q34" s="131">
        <v>0</v>
      </c>
      <c r="R34" s="131">
        <v>0</v>
      </c>
      <c r="S34" s="131">
        <v>6750000</v>
      </c>
      <c r="T34" s="131">
        <v>20380000</v>
      </c>
      <c r="U34" s="131">
        <v>18100000</v>
      </c>
      <c r="V34" s="131">
        <v>3650000</v>
      </c>
      <c r="W34" s="131">
        <v>6750000</v>
      </c>
      <c r="X34" s="131">
        <v>3208333</v>
      </c>
      <c r="Y34" s="131">
        <v>6708333</v>
      </c>
      <c r="Z34" s="131">
        <v>6958334</v>
      </c>
      <c r="AA34" s="131">
        <v>3500000</v>
      </c>
      <c r="AB34" s="131">
        <v>35950000</v>
      </c>
      <c r="AC34" s="132">
        <f t="shared" si="3"/>
        <v>111955000</v>
      </c>
      <c r="AD34" s="131">
        <v>0</v>
      </c>
      <c r="AE34" s="131">
        <v>0</v>
      </c>
      <c r="AF34" s="131">
        <v>2900000</v>
      </c>
      <c r="AG34" s="131">
        <v>20850000</v>
      </c>
      <c r="AH34" s="131">
        <v>17630000</v>
      </c>
      <c r="AI34" s="131">
        <v>7500000</v>
      </c>
      <c r="AJ34" s="131">
        <v>6750000</v>
      </c>
      <c r="AK34" s="131">
        <v>3208333</v>
      </c>
      <c r="AL34" s="131">
        <v>6708333</v>
      </c>
      <c r="AM34" s="131">
        <v>6958334</v>
      </c>
      <c r="AN34" s="131">
        <v>3500000</v>
      </c>
      <c r="AO34" s="131">
        <v>35950000</v>
      </c>
      <c r="AP34" s="133">
        <f t="shared" si="4"/>
        <v>111955000</v>
      </c>
      <c r="AQ34" s="27">
        <f t="shared" si="5"/>
        <v>459563</v>
      </c>
      <c r="AR34" s="27">
        <f t="shared" si="6"/>
        <v>67585437</v>
      </c>
      <c r="AS34" s="27">
        <f t="shared" si="7"/>
        <v>0</v>
      </c>
      <c r="AT34" s="200">
        <f t="shared" si="8"/>
        <v>0.9974468722222222</v>
      </c>
    </row>
    <row r="35" spans="1:46" s="27" customFormat="1" ht="12.75">
      <c r="A35" s="54" t="s">
        <v>225</v>
      </c>
      <c r="B35" s="130" t="s">
        <v>197</v>
      </c>
      <c r="C35" s="143">
        <f>55200000-30000000</f>
        <v>25200000</v>
      </c>
      <c r="D35" s="131">
        <v>0</v>
      </c>
      <c r="E35" s="131">
        <v>2788407</v>
      </c>
      <c r="F35" s="131">
        <v>0</v>
      </c>
      <c r="G35" s="131">
        <v>0</v>
      </c>
      <c r="H35" s="131">
        <v>0</v>
      </c>
      <c r="I35" s="131">
        <v>14883078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7441539</v>
      </c>
      <c r="P35" s="132">
        <f t="shared" si="2"/>
        <v>25113024</v>
      </c>
      <c r="Q35" s="131">
        <v>0</v>
      </c>
      <c r="R35" s="131">
        <v>0</v>
      </c>
      <c r="S35" s="131">
        <v>862394</v>
      </c>
      <c r="T35" s="131">
        <v>862394</v>
      </c>
      <c r="U35" s="131">
        <v>1063619</v>
      </c>
      <c r="V35" s="131">
        <v>0</v>
      </c>
      <c r="W35" s="131">
        <v>0</v>
      </c>
      <c r="X35" s="131">
        <v>1575000</v>
      </c>
      <c r="Y35" s="131">
        <v>3386026</v>
      </c>
      <c r="Z35" s="131">
        <v>2480513</v>
      </c>
      <c r="AA35" s="131">
        <v>4055513</v>
      </c>
      <c r="AB35" s="131">
        <v>3386026</v>
      </c>
      <c r="AC35" s="132">
        <f t="shared" si="3"/>
        <v>17671485</v>
      </c>
      <c r="AD35" s="131">
        <v>0</v>
      </c>
      <c r="AE35" s="131">
        <v>0</v>
      </c>
      <c r="AF35" s="131">
        <v>862394</v>
      </c>
      <c r="AG35" s="131">
        <v>862394</v>
      </c>
      <c r="AH35" s="131">
        <v>862394</v>
      </c>
      <c r="AI35" s="131">
        <v>201225</v>
      </c>
      <c r="AJ35" s="131">
        <v>0</v>
      </c>
      <c r="AK35" s="131">
        <v>1575000</v>
      </c>
      <c r="AL35" s="131">
        <v>2480513</v>
      </c>
      <c r="AM35" s="131">
        <v>3386026</v>
      </c>
      <c r="AN35" s="131">
        <v>2480513</v>
      </c>
      <c r="AO35" s="131">
        <v>4961026</v>
      </c>
      <c r="AP35" s="133">
        <f t="shared" si="4"/>
        <v>17671485</v>
      </c>
      <c r="AQ35" s="27">
        <f t="shared" si="5"/>
        <v>86976</v>
      </c>
      <c r="AR35" s="27">
        <f t="shared" si="6"/>
        <v>7441539</v>
      </c>
      <c r="AS35" s="27">
        <f t="shared" si="7"/>
        <v>0</v>
      </c>
      <c r="AT35" s="200">
        <f t="shared" si="8"/>
        <v>0.9965485714285715</v>
      </c>
    </row>
    <row r="36" spans="1:46" s="27" customFormat="1" ht="12.75">
      <c r="A36" s="54" t="s">
        <v>226</v>
      </c>
      <c r="B36" s="130" t="s">
        <v>227</v>
      </c>
      <c r="C36" s="131">
        <f>1576020739+35629940</f>
        <v>1611650679</v>
      </c>
      <c r="D36" s="131">
        <v>0</v>
      </c>
      <c r="E36" s="131">
        <v>128961305</v>
      </c>
      <c r="F36" s="131">
        <v>156553689</v>
      </c>
      <c r="G36" s="131">
        <v>94588953</v>
      </c>
      <c r="H36" s="131">
        <v>170842868</v>
      </c>
      <c r="I36" s="131">
        <v>99785698</v>
      </c>
      <c r="J36" s="131">
        <v>138405771</v>
      </c>
      <c r="K36" s="131">
        <v>173385915</v>
      </c>
      <c r="L36" s="131">
        <v>99881600</v>
      </c>
      <c r="M36" s="131">
        <v>133097772</v>
      </c>
      <c r="N36" s="131">
        <v>257489616</v>
      </c>
      <c r="O36" s="131">
        <v>135416749</v>
      </c>
      <c r="P36" s="132">
        <f t="shared" si="2"/>
        <v>1588409936</v>
      </c>
      <c r="Q36" s="131">
        <v>0</v>
      </c>
      <c r="R36" s="131">
        <v>128961305</v>
      </c>
      <c r="S36" s="131">
        <v>156553689</v>
      </c>
      <c r="T36" s="131">
        <v>94588953</v>
      </c>
      <c r="U36" s="131">
        <v>170842868</v>
      </c>
      <c r="V36" s="131">
        <v>99785698</v>
      </c>
      <c r="W36" s="131">
        <v>138405771</v>
      </c>
      <c r="X36" s="131">
        <v>173385915</v>
      </c>
      <c r="Y36" s="131">
        <v>99881600</v>
      </c>
      <c r="Z36" s="131">
        <v>133097772</v>
      </c>
      <c r="AA36" s="131">
        <v>128827638</v>
      </c>
      <c r="AB36" s="131">
        <v>264078727</v>
      </c>
      <c r="AC36" s="132">
        <f t="shared" si="3"/>
        <v>1588409936</v>
      </c>
      <c r="AD36" s="131">
        <v>0</v>
      </c>
      <c r="AE36" s="131">
        <v>128961305</v>
      </c>
      <c r="AF36" s="131">
        <v>156553689</v>
      </c>
      <c r="AG36" s="131">
        <v>94588953</v>
      </c>
      <c r="AH36" s="131">
        <v>170842868</v>
      </c>
      <c r="AI36" s="131">
        <v>99785698</v>
      </c>
      <c r="AJ36" s="131">
        <v>138405771</v>
      </c>
      <c r="AK36" s="131">
        <v>173385915</v>
      </c>
      <c r="AL36" s="131">
        <v>99881600</v>
      </c>
      <c r="AM36" s="131">
        <v>133097772</v>
      </c>
      <c r="AN36" s="131">
        <v>128827638</v>
      </c>
      <c r="AO36" s="131">
        <v>249109227</v>
      </c>
      <c r="AP36" s="133">
        <f t="shared" si="4"/>
        <v>1573440436</v>
      </c>
      <c r="AQ36" s="27">
        <f t="shared" si="5"/>
        <v>23240743</v>
      </c>
      <c r="AR36" s="27">
        <f t="shared" si="6"/>
        <v>0</v>
      </c>
      <c r="AS36" s="27">
        <f t="shared" si="7"/>
        <v>14969500</v>
      </c>
      <c r="AT36" s="200">
        <f t="shared" si="8"/>
        <v>0.9855795407138597</v>
      </c>
    </row>
    <row r="37" spans="1:46" s="27" customFormat="1" ht="12.75">
      <c r="A37" s="54" t="s">
        <v>228</v>
      </c>
      <c r="B37" s="130" t="s">
        <v>198</v>
      </c>
      <c r="C37" s="131">
        <f>1478549153+55000000+4000000</f>
        <v>1537549153</v>
      </c>
      <c r="D37" s="131">
        <v>0</v>
      </c>
      <c r="E37" s="131">
        <v>112451002</v>
      </c>
      <c r="F37" s="131">
        <v>119502079</v>
      </c>
      <c r="G37" s="131">
        <v>186237298</v>
      </c>
      <c r="H37" s="131">
        <v>56722043</v>
      </c>
      <c r="I37" s="131">
        <v>115671226</v>
      </c>
      <c r="J37" s="131">
        <v>121839381</v>
      </c>
      <c r="K37" s="131">
        <v>213369612</v>
      </c>
      <c r="L37" s="131">
        <v>117191969</v>
      </c>
      <c r="M37" s="131">
        <v>117990507</v>
      </c>
      <c r="N37" s="131">
        <v>163439456</v>
      </c>
      <c r="O37" s="131">
        <v>188097736</v>
      </c>
      <c r="P37" s="132">
        <f t="shared" si="2"/>
        <v>1512512309</v>
      </c>
      <c r="Q37" s="131">
        <v>0</v>
      </c>
      <c r="R37" s="131">
        <v>112451002</v>
      </c>
      <c r="S37" s="131">
        <v>119502079</v>
      </c>
      <c r="T37" s="131">
        <v>186237298</v>
      </c>
      <c r="U37" s="131">
        <v>56722043</v>
      </c>
      <c r="V37" s="131">
        <v>115671226</v>
      </c>
      <c r="W37" s="131">
        <v>121839381</v>
      </c>
      <c r="X37" s="131">
        <v>213369612</v>
      </c>
      <c r="Y37" s="131">
        <v>117191969</v>
      </c>
      <c r="Z37" s="131">
        <v>117990507</v>
      </c>
      <c r="AA37" s="131">
        <v>48414800</v>
      </c>
      <c r="AB37" s="131">
        <v>303122392</v>
      </c>
      <c r="AC37" s="132">
        <f t="shared" si="3"/>
        <v>1512512309</v>
      </c>
      <c r="AD37" s="131">
        <v>0</v>
      </c>
      <c r="AE37" s="131">
        <v>112451002</v>
      </c>
      <c r="AF37" s="131">
        <v>119502079</v>
      </c>
      <c r="AG37" s="131">
        <v>186237298</v>
      </c>
      <c r="AH37" s="131">
        <v>56722043</v>
      </c>
      <c r="AI37" s="131">
        <v>115671226</v>
      </c>
      <c r="AJ37" s="131">
        <v>121839381</v>
      </c>
      <c r="AK37" s="131">
        <v>213369612</v>
      </c>
      <c r="AL37" s="131">
        <v>117191969</v>
      </c>
      <c r="AM37" s="131">
        <v>117990507</v>
      </c>
      <c r="AN37" s="131">
        <v>48414800</v>
      </c>
      <c r="AO37" s="131">
        <v>303122392</v>
      </c>
      <c r="AP37" s="133">
        <f t="shared" si="4"/>
        <v>1512512309</v>
      </c>
      <c r="AQ37" s="27">
        <f t="shared" si="5"/>
        <v>25036844</v>
      </c>
      <c r="AR37" s="27">
        <f t="shared" si="6"/>
        <v>0</v>
      </c>
      <c r="AS37" s="27">
        <f t="shared" si="7"/>
        <v>0</v>
      </c>
      <c r="AT37" s="200">
        <f t="shared" si="8"/>
        <v>0.9837163943987421</v>
      </c>
    </row>
    <row r="38" spans="1:46" s="27" customFormat="1" ht="12.75">
      <c r="A38" s="54" t="s">
        <v>229</v>
      </c>
      <c r="B38" s="130" t="s">
        <v>199</v>
      </c>
      <c r="C38" s="131">
        <f>294110000+7000000</f>
        <v>301110000</v>
      </c>
      <c r="D38" s="131">
        <v>0</v>
      </c>
      <c r="E38" s="131">
        <v>19593544</v>
      </c>
      <c r="F38" s="131">
        <v>50411818</v>
      </c>
      <c r="G38" s="131">
        <v>0</v>
      </c>
      <c r="H38" s="131">
        <v>23875100</v>
      </c>
      <c r="I38" s="131">
        <v>23483900</v>
      </c>
      <c r="J38" s="131">
        <v>28396200</v>
      </c>
      <c r="K38" s="131">
        <v>33117800</v>
      </c>
      <c r="L38" s="131">
        <v>23147200</v>
      </c>
      <c r="M38" s="131">
        <v>47846900</v>
      </c>
      <c r="N38" s="131">
        <v>23084300</v>
      </c>
      <c r="O38" s="131">
        <v>28104400</v>
      </c>
      <c r="P38" s="132">
        <f t="shared" si="2"/>
        <v>301061162</v>
      </c>
      <c r="Q38" s="131">
        <v>0</v>
      </c>
      <c r="R38" s="131">
        <v>19593544</v>
      </c>
      <c r="S38" s="131">
        <v>50411818</v>
      </c>
      <c r="T38" s="131">
        <v>0</v>
      </c>
      <c r="U38" s="131">
        <v>23875100</v>
      </c>
      <c r="V38" s="131">
        <v>23483900</v>
      </c>
      <c r="W38" s="131">
        <v>28396200</v>
      </c>
      <c r="X38" s="131">
        <v>33117800</v>
      </c>
      <c r="Y38" s="131">
        <v>23147200</v>
      </c>
      <c r="Z38" s="131">
        <v>47846900</v>
      </c>
      <c r="AA38" s="131">
        <v>0</v>
      </c>
      <c r="AB38" s="131">
        <v>51188700</v>
      </c>
      <c r="AC38" s="132">
        <f t="shared" si="3"/>
        <v>301061162</v>
      </c>
      <c r="AD38" s="131">
        <v>0</v>
      </c>
      <c r="AE38" s="131">
        <v>19593544</v>
      </c>
      <c r="AF38" s="131">
        <v>50411818</v>
      </c>
      <c r="AG38" s="131">
        <v>0</v>
      </c>
      <c r="AH38" s="131">
        <v>23875100</v>
      </c>
      <c r="AI38" s="131">
        <v>23483900</v>
      </c>
      <c r="AJ38" s="131">
        <v>28396200</v>
      </c>
      <c r="AK38" s="131">
        <v>33117800</v>
      </c>
      <c r="AL38" s="131">
        <v>23147200</v>
      </c>
      <c r="AM38" s="131">
        <v>47846900</v>
      </c>
      <c r="AN38" s="131">
        <v>0</v>
      </c>
      <c r="AO38" s="131">
        <v>51188700</v>
      </c>
      <c r="AP38" s="133">
        <f t="shared" si="4"/>
        <v>301061162</v>
      </c>
      <c r="AQ38" s="27">
        <f t="shared" si="5"/>
        <v>48838</v>
      </c>
      <c r="AR38" s="27">
        <f t="shared" si="6"/>
        <v>0</v>
      </c>
      <c r="AS38" s="27">
        <f t="shared" si="7"/>
        <v>0</v>
      </c>
      <c r="AT38" s="200">
        <f t="shared" si="8"/>
        <v>0.9998378067815749</v>
      </c>
    </row>
    <row r="39" spans="1:46" s="27" customFormat="1" ht="12.75">
      <c r="A39" s="54" t="s">
        <v>230</v>
      </c>
      <c r="B39" s="130" t="s">
        <v>200</v>
      </c>
      <c r="C39" s="131">
        <f>52232000-1000000</f>
        <v>51232000</v>
      </c>
      <c r="D39" s="131">
        <v>0</v>
      </c>
      <c r="E39" s="131">
        <v>3243903</v>
      </c>
      <c r="F39" s="131">
        <v>8352577</v>
      </c>
      <c r="G39" s="131">
        <v>0</v>
      </c>
      <c r="H39" s="131">
        <v>3977700</v>
      </c>
      <c r="I39" s="131">
        <v>3912800</v>
      </c>
      <c r="J39" s="131">
        <v>4732500</v>
      </c>
      <c r="K39" s="131">
        <v>9376300</v>
      </c>
      <c r="L39" s="131">
        <v>3978700</v>
      </c>
      <c r="M39" s="131">
        <v>0</v>
      </c>
      <c r="N39" s="131">
        <v>7837300</v>
      </c>
      <c r="O39" s="131">
        <v>5129600</v>
      </c>
      <c r="P39" s="132">
        <f t="shared" si="2"/>
        <v>50541380</v>
      </c>
      <c r="Q39" s="131">
        <v>0</v>
      </c>
      <c r="R39" s="131">
        <v>3243903</v>
      </c>
      <c r="S39" s="131">
        <v>8352577</v>
      </c>
      <c r="T39" s="131">
        <v>0</v>
      </c>
      <c r="U39" s="131">
        <v>3977700</v>
      </c>
      <c r="V39" s="131">
        <v>3912800</v>
      </c>
      <c r="W39" s="131">
        <v>4732500</v>
      </c>
      <c r="X39" s="131">
        <v>9376300</v>
      </c>
      <c r="Y39" s="131">
        <v>3978700</v>
      </c>
      <c r="Z39" s="131">
        <v>0</v>
      </c>
      <c r="AA39" s="131">
        <v>3992900</v>
      </c>
      <c r="AB39" s="131">
        <v>8974000</v>
      </c>
      <c r="AC39" s="132">
        <f t="shared" si="3"/>
        <v>50541380</v>
      </c>
      <c r="AD39" s="131">
        <v>0</v>
      </c>
      <c r="AE39" s="131">
        <v>3243903</v>
      </c>
      <c r="AF39" s="131">
        <v>8352577</v>
      </c>
      <c r="AG39" s="131">
        <v>0</v>
      </c>
      <c r="AH39" s="131">
        <v>3977700</v>
      </c>
      <c r="AI39" s="131">
        <v>3912800</v>
      </c>
      <c r="AJ39" s="131">
        <v>4732500</v>
      </c>
      <c r="AK39" s="131">
        <v>9376300</v>
      </c>
      <c r="AL39" s="131">
        <v>3978700</v>
      </c>
      <c r="AM39" s="131">
        <v>0</v>
      </c>
      <c r="AN39" s="131">
        <v>3992900</v>
      </c>
      <c r="AO39" s="131">
        <v>8974000</v>
      </c>
      <c r="AP39" s="133">
        <f t="shared" si="4"/>
        <v>50541380</v>
      </c>
      <c r="AQ39" s="27">
        <f t="shared" si="5"/>
        <v>690620</v>
      </c>
      <c r="AR39" s="27">
        <f t="shared" si="6"/>
        <v>0</v>
      </c>
      <c r="AS39" s="27">
        <f t="shared" si="7"/>
        <v>0</v>
      </c>
      <c r="AT39" s="200">
        <f t="shared" si="8"/>
        <v>0.9865197532792005</v>
      </c>
    </row>
    <row r="40" spans="1:46" s="27" customFormat="1" ht="12.75">
      <c r="A40" s="54" t="s">
        <v>231</v>
      </c>
      <c r="B40" s="130" t="s">
        <v>201</v>
      </c>
      <c r="C40" s="131">
        <f>52232000-1000000</f>
        <v>51232000</v>
      </c>
      <c r="D40" s="131">
        <v>0</v>
      </c>
      <c r="E40" s="131">
        <v>3244000</v>
      </c>
      <c r="F40" s="131">
        <v>8352600</v>
      </c>
      <c r="G40" s="131">
        <v>0</v>
      </c>
      <c r="H40" s="131">
        <v>3977700</v>
      </c>
      <c r="I40" s="131">
        <v>3912800</v>
      </c>
      <c r="J40" s="131">
        <v>4732500</v>
      </c>
      <c r="K40" s="131">
        <v>9376300</v>
      </c>
      <c r="L40" s="131">
        <v>3978700</v>
      </c>
      <c r="M40" s="131">
        <v>3992900</v>
      </c>
      <c r="N40" s="131">
        <v>3844400</v>
      </c>
      <c r="O40" s="131">
        <v>5129600</v>
      </c>
      <c r="P40" s="132">
        <f t="shared" si="2"/>
        <v>50541500</v>
      </c>
      <c r="Q40" s="131">
        <v>0</v>
      </c>
      <c r="R40" s="131">
        <v>3244000</v>
      </c>
      <c r="S40" s="131">
        <v>8352600</v>
      </c>
      <c r="T40" s="131">
        <v>0</v>
      </c>
      <c r="U40" s="131">
        <v>3977700</v>
      </c>
      <c r="V40" s="131">
        <v>3912800</v>
      </c>
      <c r="W40" s="131">
        <v>4732500</v>
      </c>
      <c r="X40" s="131">
        <v>9376300</v>
      </c>
      <c r="Y40" s="131">
        <v>3978700</v>
      </c>
      <c r="Z40" s="131">
        <v>3992900</v>
      </c>
      <c r="AA40" s="131">
        <v>0</v>
      </c>
      <c r="AB40" s="131">
        <v>8974000</v>
      </c>
      <c r="AC40" s="132">
        <f t="shared" si="3"/>
        <v>50541500</v>
      </c>
      <c r="AD40" s="131">
        <v>0</v>
      </c>
      <c r="AE40" s="131">
        <v>3244000</v>
      </c>
      <c r="AF40" s="131">
        <v>8352600</v>
      </c>
      <c r="AG40" s="131">
        <v>0</v>
      </c>
      <c r="AH40" s="131">
        <v>3977700</v>
      </c>
      <c r="AI40" s="131">
        <v>3912800</v>
      </c>
      <c r="AJ40" s="131">
        <v>4732500</v>
      </c>
      <c r="AK40" s="131">
        <v>9376300</v>
      </c>
      <c r="AL40" s="131">
        <v>3978700</v>
      </c>
      <c r="AM40" s="131">
        <v>3992900</v>
      </c>
      <c r="AN40" s="131">
        <v>0</v>
      </c>
      <c r="AO40" s="131">
        <v>8974000</v>
      </c>
      <c r="AP40" s="133">
        <f t="shared" si="4"/>
        <v>50541500</v>
      </c>
      <c r="AQ40" s="27">
        <f t="shared" si="5"/>
        <v>690500</v>
      </c>
      <c r="AR40" s="27">
        <f t="shared" si="6"/>
        <v>0</v>
      </c>
      <c r="AS40" s="27">
        <f t="shared" si="7"/>
        <v>0</v>
      </c>
      <c r="AT40" s="200">
        <f t="shared" si="8"/>
        <v>0.9865220955652717</v>
      </c>
    </row>
    <row r="41" spans="1:46" s="27" customFormat="1" ht="13.5" thickBot="1">
      <c r="A41" s="54" t="s">
        <v>232</v>
      </c>
      <c r="B41" s="130" t="s">
        <v>202</v>
      </c>
      <c r="C41" s="131">
        <f>104465000-2000000</f>
        <v>102465000</v>
      </c>
      <c r="D41" s="131">
        <v>0</v>
      </c>
      <c r="E41" s="131">
        <v>6487806</v>
      </c>
      <c r="F41" s="131">
        <v>16705153</v>
      </c>
      <c r="G41" s="131">
        <v>0</v>
      </c>
      <c r="H41" s="131">
        <v>8024200</v>
      </c>
      <c r="I41" s="131">
        <v>17362400</v>
      </c>
      <c r="J41" s="131">
        <v>0</v>
      </c>
      <c r="K41" s="131">
        <v>18845900</v>
      </c>
      <c r="L41" s="131">
        <v>0</v>
      </c>
      <c r="M41" s="131">
        <v>7965200</v>
      </c>
      <c r="N41" s="131">
        <v>15680900</v>
      </c>
      <c r="O41" s="131">
        <v>10254200</v>
      </c>
      <c r="P41" s="132">
        <f t="shared" si="2"/>
        <v>101325759</v>
      </c>
      <c r="Q41" s="131">
        <v>0</v>
      </c>
      <c r="R41" s="131">
        <v>6487806</v>
      </c>
      <c r="S41" s="131">
        <v>16705153</v>
      </c>
      <c r="T41" s="131">
        <v>0</v>
      </c>
      <c r="U41" s="131">
        <v>8024200</v>
      </c>
      <c r="V41" s="131">
        <v>17362400</v>
      </c>
      <c r="W41" s="131">
        <v>0</v>
      </c>
      <c r="X41" s="131">
        <v>18845900</v>
      </c>
      <c r="Y41" s="131">
        <v>0</v>
      </c>
      <c r="Z41" s="131">
        <v>7965200</v>
      </c>
      <c r="AA41" s="131">
        <v>7987000</v>
      </c>
      <c r="AB41" s="131">
        <v>17948100</v>
      </c>
      <c r="AC41" s="132">
        <f t="shared" si="3"/>
        <v>101325759</v>
      </c>
      <c r="AD41" s="131">
        <v>0</v>
      </c>
      <c r="AE41" s="131">
        <v>6487806</v>
      </c>
      <c r="AF41" s="131">
        <v>16705153</v>
      </c>
      <c r="AG41" s="131">
        <v>0</v>
      </c>
      <c r="AH41" s="131">
        <v>8024200</v>
      </c>
      <c r="AI41" s="131">
        <v>17362400</v>
      </c>
      <c r="AJ41" s="131">
        <v>0</v>
      </c>
      <c r="AK41" s="131">
        <v>18845900</v>
      </c>
      <c r="AL41" s="131">
        <v>0</v>
      </c>
      <c r="AM41" s="131">
        <v>7965200</v>
      </c>
      <c r="AN41" s="131">
        <v>7987000</v>
      </c>
      <c r="AO41" s="131">
        <v>17948100</v>
      </c>
      <c r="AP41" s="133">
        <f t="shared" si="4"/>
        <v>101325759</v>
      </c>
      <c r="AQ41" s="27">
        <f t="shared" si="5"/>
        <v>1139241</v>
      </c>
      <c r="AR41" s="27">
        <f t="shared" si="6"/>
        <v>0</v>
      </c>
      <c r="AS41" s="27">
        <f t="shared" si="7"/>
        <v>0</v>
      </c>
      <c r="AT41" s="200">
        <f t="shared" si="8"/>
        <v>0.9888816571512223</v>
      </c>
    </row>
    <row r="42" spans="1:46" s="34" customFormat="1" ht="13.5" thickBot="1">
      <c r="A42" s="96"/>
      <c r="B42" s="136" t="s">
        <v>85</v>
      </c>
      <c r="C42" s="137">
        <f>SUM(C43:C53)</f>
        <v>1522482237</v>
      </c>
      <c r="D42" s="137">
        <f aca="true" t="shared" si="9" ref="D42:P42">SUM(D43:D53)</f>
        <v>381587772</v>
      </c>
      <c r="E42" s="137">
        <f t="shared" si="9"/>
        <v>8081710</v>
      </c>
      <c r="F42" s="137">
        <f t="shared" si="9"/>
        <v>15484572</v>
      </c>
      <c r="G42" s="137">
        <f t="shared" si="9"/>
        <v>26507815</v>
      </c>
      <c r="H42" s="137">
        <f t="shared" si="9"/>
        <v>62274330</v>
      </c>
      <c r="I42" s="137">
        <f t="shared" si="9"/>
        <v>435683918.11</v>
      </c>
      <c r="J42" s="137">
        <f t="shared" si="9"/>
        <v>52355203</v>
      </c>
      <c r="K42" s="137">
        <f t="shared" si="9"/>
        <v>184924740</v>
      </c>
      <c r="L42" s="137">
        <f t="shared" si="9"/>
        <v>46077980</v>
      </c>
      <c r="M42" s="137">
        <f t="shared" si="9"/>
        <v>21512122</v>
      </c>
      <c r="N42" s="137">
        <f t="shared" si="9"/>
        <v>36866280</v>
      </c>
      <c r="O42" s="137">
        <f t="shared" si="9"/>
        <v>230457439.89</v>
      </c>
      <c r="P42" s="137">
        <f t="shared" si="9"/>
        <v>1501813882</v>
      </c>
      <c r="Q42" s="137">
        <f aca="true" t="shared" si="10" ref="Q42:AS42">SUM(Q43:Q53)</f>
        <v>17888806</v>
      </c>
      <c r="R42" s="137">
        <f t="shared" si="10"/>
        <v>18141951</v>
      </c>
      <c r="S42" s="137">
        <f t="shared" si="10"/>
        <v>56286611</v>
      </c>
      <c r="T42" s="137">
        <f t="shared" si="10"/>
        <v>65339657</v>
      </c>
      <c r="U42" s="137">
        <f t="shared" si="10"/>
        <v>83085288</v>
      </c>
      <c r="V42" s="137">
        <f t="shared" si="10"/>
        <v>104281555</v>
      </c>
      <c r="W42" s="137">
        <f t="shared" si="10"/>
        <v>130325449</v>
      </c>
      <c r="X42" s="137">
        <f t="shared" si="10"/>
        <v>223677531</v>
      </c>
      <c r="Y42" s="137">
        <f t="shared" si="10"/>
        <v>139594251</v>
      </c>
      <c r="Z42" s="137">
        <f t="shared" si="10"/>
        <v>118492400</v>
      </c>
      <c r="AA42" s="137">
        <f t="shared" si="10"/>
        <v>153374043</v>
      </c>
      <c r="AB42" s="137">
        <f t="shared" si="10"/>
        <v>269520042</v>
      </c>
      <c r="AC42" s="137">
        <f t="shared" si="10"/>
        <v>1380007584</v>
      </c>
      <c r="AD42" s="137">
        <f t="shared" si="10"/>
        <v>13608806</v>
      </c>
      <c r="AE42" s="137">
        <f t="shared" si="10"/>
        <v>21284501</v>
      </c>
      <c r="AF42" s="137">
        <f t="shared" si="10"/>
        <v>48348817</v>
      </c>
      <c r="AG42" s="137">
        <f t="shared" si="10"/>
        <v>60981131</v>
      </c>
      <c r="AH42" s="137">
        <f t="shared" si="10"/>
        <v>91362589</v>
      </c>
      <c r="AI42" s="137">
        <f t="shared" si="10"/>
        <v>76877875</v>
      </c>
      <c r="AJ42" s="137">
        <f t="shared" si="10"/>
        <v>88995350</v>
      </c>
      <c r="AK42" s="137">
        <f t="shared" si="10"/>
        <v>242279747</v>
      </c>
      <c r="AL42" s="137">
        <f t="shared" si="10"/>
        <v>143888661</v>
      </c>
      <c r="AM42" s="137">
        <f t="shared" si="10"/>
        <v>162468492</v>
      </c>
      <c r="AN42" s="137">
        <f t="shared" si="10"/>
        <v>128867570</v>
      </c>
      <c r="AO42" s="137">
        <f t="shared" si="10"/>
        <v>290339103</v>
      </c>
      <c r="AP42" s="125">
        <f t="shared" si="10"/>
        <v>1369302642</v>
      </c>
      <c r="AQ42" s="125">
        <f t="shared" si="10"/>
        <v>20668355</v>
      </c>
      <c r="AR42" s="125">
        <f t="shared" si="10"/>
        <v>121806298</v>
      </c>
      <c r="AS42" s="125">
        <f t="shared" si="10"/>
        <v>10704942</v>
      </c>
      <c r="AT42" s="200">
        <f>P42/C42</f>
        <v>0.9864245673954618</v>
      </c>
    </row>
    <row r="43" spans="1:46" s="34" customFormat="1" ht="12.75">
      <c r="A43" s="54" t="s">
        <v>283</v>
      </c>
      <c r="B43" s="139" t="s">
        <v>284</v>
      </c>
      <c r="C43" s="140">
        <f>36000000</f>
        <v>36000000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140">
        <v>0</v>
      </c>
      <c r="O43" s="140">
        <v>31500000</v>
      </c>
      <c r="P43" s="132">
        <f t="shared" si="2"/>
        <v>31500000</v>
      </c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140">
        <v>0</v>
      </c>
      <c r="AB43" s="132">
        <v>0</v>
      </c>
      <c r="AC43" s="132">
        <f t="shared" si="3"/>
        <v>0</v>
      </c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140">
        <v>0</v>
      </c>
      <c r="AO43" s="132">
        <v>0</v>
      </c>
      <c r="AP43" s="133">
        <f t="shared" si="4"/>
        <v>0</v>
      </c>
      <c r="AQ43" s="27">
        <f t="shared" si="5"/>
        <v>4500000</v>
      </c>
      <c r="AR43" s="27">
        <f t="shared" si="6"/>
        <v>31500000</v>
      </c>
      <c r="AS43" s="27">
        <f t="shared" si="7"/>
        <v>0</v>
      </c>
      <c r="AT43" s="200"/>
    </row>
    <row r="44" spans="1:46" s="27" customFormat="1" ht="12.75">
      <c r="A44" s="54" t="s">
        <v>243</v>
      </c>
      <c r="B44" s="139" t="s">
        <v>234</v>
      </c>
      <c r="C44" s="140">
        <f>192685547+1480015</f>
        <v>194165562</v>
      </c>
      <c r="D44" s="140">
        <v>120838611</v>
      </c>
      <c r="E44" s="131">
        <v>0</v>
      </c>
      <c r="F44" s="140">
        <v>9963440</v>
      </c>
      <c r="G44" s="140">
        <v>0</v>
      </c>
      <c r="H44" s="140">
        <v>0</v>
      </c>
      <c r="I44" s="140">
        <v>38429617</v>
      </c>
      <c r="J44" s="140">
        <v>0</v>
      </c>
      <c r="K44" s="140">
        <v>9683416</v>
      </c>
      <c r="L44" s="140">
        <v>6912200</v>
      </c>
      <c r="M44" s="140">
        <v>628656</v>
      </c>
      <c r="N44" s="140">
        <v>0</v>
      </c>
      <c r="O44" s="140">
        <v>7634229</v>
      </c>
      <c r="P44" s="140">
        <f>SUM(D44:O44)</f>
        <v>194090169</v>
      </c>
      <c r="Q44" s="140">
        <v>0</v>
      </c>
      <c r="R44" s="132">
        <v>0</v>
      </c>
      <c r="S44" s="140">
        <v>8720494</v>
      </c>
      <c r="T44" s="140">
        <v>12555197</v>
      </c>
      <c r="U44" s="140">
        <v>25179763</v>
      </c>
      <c r="V44" s="140">
        <v>14528720</v>
      </c>
      <c r="W44" s="140">
        <v>18531432</v>
      </c>
      <c r="X44" s="140">
        <v>23435066</v>
      </c>
      <c r="Y44" s="140">
        <v>16564028</v>
      </c>
      <c r="Z44" s="140">
        <v>19658045</v>
      </c>
      <c r="AA44" s="140">
        <v>21398995</v>
      </c>
      <c r="AB44" s="140">
        <v>26788919</v>
      </c>
      <c r="AC44" s="140">
        <f>SUM(Q44:AB44)</f>
        <v>187360659</v>
      </c>
      <c r="AD44" s="140">
        <v>0</v>
      </c>
      <c r="AE44" s="132">
        <v>0</v>
      </c>
      <c r="AF44" s="140">
        <v>865250</v>
      </c>
      <c r="AG44" s="140">
        <v>20410441</v>
      </c>
      <c r="AH44" s="140">
        <v>23451713</v>
      </c>
      <c r="AI44" s="140">
        <v>16256770</v>
      </c>
      <c r="AJ44" s="140">
        <v>8948138</v>
      </c>
      <c r="AK44" s="140">
        <v>31290310</v>
      </c>
      <c r="AL44" s="140">
        <v>18292078</v>
      </c>
      <c r="AM44" s="140">
        <v>17929995</v>
      </c>
      <c r="AN44" s="140">
        <v>21398995</v>
      </c>
      <c r="AO44" s="140">
        <v>28516969</v>
      </c>
      <c r="AP44" s="247">
        <f>SUM(AD44:AO44)</f>
        <v>187360659</v>
      </c>
      <c r="AQ44" s="27">
        <f t="shared" si="5"/>
        <v>75393</v>
      </c>
      <c r="AR44" s="27">
        <f t="shared" si="6"/>
        <v>6729510</v>
      </c>
      <c r="AS44" s="27">
        <f>SUM(AC44-AP44)</f>
        <v>0</v>
      </c>
      <c r="AT44" s="200">
        <f>P44/C44</f>
        <v>0.9996117076621446</v>
      </c>
    </row>
    <row r="45" spans="1:46" s="27" customFormat="1" ht="12.75">
      <c r="A45" s="54" t="s">
        <v>244</v>
      </c>
      <c r="B45" s="139" t="s">
        <v>235</v>
      </c>
      <c r="C45" s="140">
        <f>19800000+249276</f>
        <v>20049276</v>
      </c>
      <c r="D45" s="140">
        <v>6334819</v>
      </c>
      <c r="E45" s="131">
        <v>242280</v>
      </c>
      <c r="F45" s="140">
        <v>1837345</v>
      </c>
      <c r="G45" s="140">
        <v>150000</v>
      </c>
      <c r="H45" s="140">
        <v>174798</v>
      </c>
      <c r="I45" s="140">
        <v>932870</v>
      </c>
      <c r="J45" s="140">
        <v>114450</v>
      </c>
      <c r="K45" s="140">
        <v>2678651</v>
      </c>
      <c r="L45" s="140">
        <v>403106</v>
      </c>
      <c r="M45" s="140">
        <v>2847707</v>
      </c>
      <c r="N45" s="140">
        <v>2393688</v>
      </c>
      <c r="O45" s="140">
        <v>1420222</v>
      </c>
      <c r="P45" s="140">
        <f aca="true" t="shared" si="11" ref="P45:P53">SUM(D45:O45)</f>
        <v>19529936</v>
      </c>
      <c r="Q45" s="140">
        <v>55298</v>
      </c>
      <c r="R45" s="132">
        <v>5301801</v>
      </c>
      <c r="S45" s="140">
        <v>1842651</v>
      </c>
      <c r="T45" s="140">
        <v>1364694</v>
      </c>
      <c r="U45" s="140">
        <v>174798</v>
      </c>
      <c r="V45" s="140">
        <v>0</v>
      </c>
      <c r="W45" s="140">
        <v>484670</v>
      </c>
      <c r="X45" s="140">
        <v>2456851</v>
      </c>
      <c r="Y45" s="140">
        <v>784450</v>
      </c>
      <c r="Z45" s="140">
        <v>853274</v>
      </c>
      <c r="AA45" s="140">
        <v>4791227</v>
      </c>
      <c r="AB45" s="140">
        <v>1420222</v>
      </c>
      <c r="AC45" s="140">
        <f aca="true" t="shared" si="12" ref="AC45:AC53">SUM(Q45:AB45)</f>
        <v>19529936</v>
      </c>
      <c r="AD45" s="140">
        <v>55298</v>
      </c>
      <c r="AE45" s="132">
        <v>4164351</v>
      </c>
      <c r="AF45" s="140">
        <v>1760101</v>
      </c>
      <c r="AG45" s="140">
        <v>2584694</v>
      </c>
      <c r="AH45" s="140">
        <v>174798</v>
      </c>
      <c r="AI45" s="140">
        <v>0</v>
      </c>
      <c r="AJ45" s="140">
        <v>484670</v>
      </c>
      <c r="AK45" s="140">
        <v>2456851</v>
      </c>
      <c r="AL45" s="140">
        <v>784450</v>
      </c>
      <c r="AM45" s="140">
        <v>853274</v>
      </c>
      <c r="AN45" s="140">
        <v>3405227</v>
      </c>
      <c r="AO45" s="140">
        <v>2806222</v>
      </c>
      <c r="AP45" s="247">
        <f aca="true" t="shared" si="13" ref="AP45:AP53">SUM(AD45:AO45)</f>
        <v>19529936</v>
      </c>
      <c r="AQ45" s="27">
        <f t="shared" si="5"/>
        <v>519340</v>
      </c>
      <c r="AR45" s="27">
        <f t="shared" si="6"/>
        <v>0</v>
      </c>
      <c r="AS45" s="27">
        <f aca="true" t="shared" si="14" ref="AS45:AS50">SUM(AC45-AP45)</f>
        <v>0</v>
      </c>
      <c r="AT45" s="200">
        <f aca="true" t="shared" si="15" ref="AT45:AT54">P45/C45</f>
        <v>0.9740968202542576</v>
      </c>
    </row>
    <row r="46" spans="1:46" s="27" customFormat="1" ht="12.75">
      <c r="A46" s="54" t="s">
        <v>286</v>
      </c>
      <c r="B46" s="139" t="s">
        <v>285</v>
      </c>
      <c r="C46" s="140">
        <v>350000</v>
      </c>
      <c r="D46" s="140"/>
      <c r="E46" s="131"/>
      <c r="F46" s="140"/>
      <c r="G46" s="140"/>
      <c r="H46" s="140"/>
      <c r="I46" s="140"/>
      <c r="J46" s="140"/>
      <c r="K46" s="140"/>
      <c r="L46" s="140"/>
      <c r="M46" s="140"/>
      <c r="N46" s="140">
        <v>0</v>
      </c>
      <c r="O46" s="140">
        <v>255200</v>
      </c>
      <c r="P46" s="140">
        <f t="shared" si="11"/>
        <v>255200</v>
      </c>
      <c r="Q46" s="140"/>
      <c r="R46" s="132"/>
      <c r="S46" s="140"/>
      <c r="T46" s="140"/>
      <c r="U46" s="140"/>
      <c r="V46" s="140"/>
      <c r="W46" s="140"/>
      <c r="X46" s="140"/>
      <c r="Y46" s="140"/>
      <c r="Z46" s="140"/>
      <c r="AA46" s="140">
        <v>0</v>
      </c>
      <c r="AB46" s="140">
        <v>255200</v>
      </c>
      <c r="AC46" s="140">
        <f t="shared" si="12"/>
        <v>255200</v>
      </c>
      <c r="AD46" s="140"/>
      <c r="AE46" s="132"/>
      <c r="AF46" s="140"/>
      <c r="AG46" s="140"/>
      <c r="AH46" s="140"/>
      <c r="AI46" s="140"/>
      <c r="AJ46" s="140"/>
      <c r="AK46" s="140"/>
      <c r="AL46" s="140"/>
      <c r="AM46" s="140"/>
      <c r="AN46" s="140">
        <v>0</v>
      </c>
      <c r="AO46" s="140">
        <v>255200</v>
      </c>
      <c r="AP46" s="247">
        <f t="shared" si="13"/>
        <v>255200</v>
      </c>
      <c r="AQ46" s="27">
        <f t="shared" si="5"/>
        <v>94800</v>
      </c>
      <c r="AR46" s="27">
        <f t="shared" si="6"/>
        <v>0</v>
      </c>
      <c r="AS46" s="27">
        <f t="shared" si="14"/>
        <v>0</v>
      </c>
      <c r="AT46" s="200"/>
    </row>
    <row r="47" spans="1:46" s="27" customFormat="1" ht="12.75">
      <c r="A47" s="54" t="s">
        <v>287</v>
      </c>
      <c r="B47" s="139" t="s">
        <v>236</v>
      </c>
      <c r="C47" s="140">
        <v>10000000</v>
      </c>
      <c r="D47" s="140">
        <v>0</v>
      </c>
      <c r="E47" s="131">
        <v>0</v>
      </c>
      <c r="F47" s="140">
        <v>0</v>
      </c>
      <c r="G47" s="140">
        <v>0</v>
      </c>
      <c r="H47" s="140">
        <v>0</v>
      </c>
      <c r="I47" s="140">
        <v>150000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8597992</v>
      </c>
      <c r="P47" s="140">
        <f t="shared" si="11"/>
        <v>8747992</v>
      </c>
      <c r="Q47" s="140">
        <v>0</v>
      </c>
      <c r="R47" s="132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150000</v>
      </c>
      <c r="Z47" s="140">
        <v>0</v>
      </c>
      <c r="AA47" s="140">
        <v>0</v>
      </c>
      <c r="AB47" s="140">
        <v>8597992</v>
      </c>
      <c r="AC47" s="140">
        <f t="shared" si="12"/>
        <v>8747992</v>
      </c>
      <c r="AD47" s="140">
        <v>0</v>
      </c>
      <c r="AE47" s="132">
        <v>0</v>
      </c>
      <c r="AF47" s="140">
        <v>0</v>
      </c>
      <c r="AG47" s="140"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150000</v>
      </c>
      <c r="AM47" s="140">
        <v>0</v>
      </c>
      <c r="AN47" s="140">
        <v>0</v>
      </c>
      <c r="AO47" s="140">
        <v>0</v>
      </c>
      <c r="AP47" s="247">
        <f t="shared" si="13"/>
        <v>150000</v>
      </c>
      <c r="AQ47" s="27">
        <f t="shared" si="5"/>
        <v>1252008</v>
      </c>
      <c r="AR47" s="27">
        <f t="shared" si="6"/>
        <v>0</v>
      </c>
      <c r="AS47" s="27">
        <f t="shared" si="14"/>
        <v>8597992</v>
      </c>
      <c r="AT47" s="200">
        <f t="shared" si="15"/>
        <v>0.8747992</v>
      </c>
    </row>
    <row r="48" spans="1:46" s="27" customFormat="1" ht="12.75">
      <c r="A48" s="54" t="s">
        <v>245</v>
      </c>
      <c r="B48" s="139" t="s">
        <v>237</v>
      </c>
      <c r="C48" s="140">
        <f>61415950-12000000+1650000</f>
        <v>51065950</v>
      </c>
      <c r="D48" s="140">
        <v>0</v>
      </c>
      <c r="E48" s="131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8000000</v>
      </c>
      <c r="K48" s="140">
        <v>31999440</v>
      </c>
      <c r="L48" s="140">
        <v>0</v>
      </c>
      <c r="M48" s="140">
        <v>1809896</v>
      </c>
      <c r="N48" s="140">
        <v>0</v>
      </c>
      <c r="O48" s="140">
        <v>4343357</v>
      </c>
      <c r="P48" s="140">
        <f t="shared" si="11"/>
        <v>46152693</v>
      </c>
      <c r="Q48" s="140">
        <v>0</v>
      </c>
      <c r="R48" s="132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2600000</v>
      </c>
      <c r="Y48" s="140">
        <v>14113465</v>
      </c>
      <c r="Z48" s="140">
        <v>9697785</v>
      </c>
      <c r="AA48" s="140">
        <v>0</v>
      </c>
      <c r="AB48" s="140">
        <v>17741443</v>
      </c>
      <c r="AC48" s="140">
        <f t="shared" si="12"/>
        <v>44152693</v>
      </c>
      <c r="AD48" s="140">
        <v>0</v>
      </c>
      <c r="AE48" s="132">
        <v>0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16713465</v>
      </c>
      <c r="AM48" s="140">
        <v>9697785</v>
      </c>
      <c r="AN48" s="140">
        <v>0</v>
      </c>
      <c r="AO48" s="140">
        <v>17741443</v>
      </c>
      <c r="AP48" s="247">
        <f t="shared" si="13"/>
        <v>44152693</v>
      </c>
      <c r="AQ48" s="27">
        <f t="shared" si="5"/>
        <v>4913257</v>
      </c>
      <c r="AR48" s="27">
        <f t="shared" si="6"/>
        <v>2000000</v>
      </c>
      <c r="AS48" s="27">
        <f t="shared" si="14"/>
        <v>0</v>
      </c>
      <c r="AT48" s="200">
        <f t="shared" si="15"/>
        <v>0.9037860453002441</v>
      </c>
    </row>
    <row r="49" spans="1:46" s="27" customFormat="1" ht="12.75">
      <c r="A49" s="54" t="s">
        <v>246</v>
      </c>
      <c r="B49" s="139" t="s">
        <v>238</v>
      </c>
      <c r="C49" s="140">
        <f>665196402-5000000-600000-3464532+3464532+30027253+11256332-2422012</f>
        <v>698457975</v>
      </c>
      <c r="D49" s="140">
        <v>159867475</v>
      </c>
      <c r="E49" s="131">
        <v>0</v>
      </c>
      <c r="F49" s="140">
        <v>0</v>
      </c>
      <c r="G49" s="140">
        <v>0</v>
      </c>
      <c r="H49" s="140">
        <v>33142544</v>
      </c>
      <c r="I49" s="140">
        <v>390999412.11</v>
      </c>
      <c r="J49" s="140">
        <v>899774</v>
      </c>
      <c r="K49" s="140">
        <v>15741820</v>
      </c>
      <c r="L49" s="140">
        <v>5311285</v>
      </c>
      <c r="M49" s="140">
        <v>0</v>
      </c>
      <c r="N49" s="140">
        <v>1162199</v>
      </c>
      <c r="O49" s="140">
        <v>89318461.89</v>
      </c>
      <c r="P49" s="140">
        <f t="shared" si="11"/>
        <v>696442971</v>
      </c>
      <c r="Q49" s="140">
        <v>0</v>
      </c>
      <c r="R49" s="132">
        <v>1422691</v>
      </c>
      <c r="S49" s="140">
        <v>1379679</v>
      </c>
      <c r="T49" s="140">
        <v>12752071</v>
      </c>
      <c r="U49" s="140">
        <v>27503989</v>
      </c>
      <c r="V49" s="140">
        <v>83254665</v>
      </c>
      <c r="W49" s="140">
        <v>69978688</v>
      </c>
      <c r="X49" s="140">
        <v>65710083</v>
      </c>
      <c r="Y49" s="140">
        <v>75238228</v>
      </c>
      <c r="Z49" s="140">
        <v>69690242</v>
      </c>
      <c r="AA49" s="140">
        <v>84355214</v>
      </c>
      <c r="AB49" s="140">
        <v>124600633</v>
      </c>
      <c r="AC49" s="140">
        <f t="shared" si="12"/>
        <v>615886183</v>
      </c>
      <c r="AD49" s="140">
        <v>0</v>
      </c>
      <c r="AE49" s="132">
        <v>1422691</v>
      </c>
      <c r="AF49" s="140">
        <v>1379679</v>
      </c>
      <c r="AG49" s="140">
        <v>12752071</v>
      </c>
      <c r="AH49" s="140">
        <v>24075570</v>
      </c>
      <c r="AI49" s="140">
        <v>55850638</v>
      </c>
      <c r="AJ49" s="140">
        <v>36504180</v>
      </c>
      <c r="AK49" s="140">
        <v>79057055</v>
      </c>
      <c r="AL49" s="140">
        <v>75204588</v>
      </c>
      <c r="AM49" s="140">
        <v>116834384</v>
      </c>
      <c r="AN49" s="140">
        <v>84355214</v>
      </c>
      <c r="AO49" s="140">
        <v>128450113</v>
      </c>
      <c r="AP49" s="247">
        <f t="shared" si="13"/>
        <v>615886183</v>
      </c>
      <c r="AQ49" s="27">
        <f t="shared" si="5"/>
        <v>2015004</v>
      </c>
      <c r="AR49" s="27">
        <f t="shared" si="6"/>
        <v>80556788</v>
      </c>
      <c r="AS49" s="27">
        <f t="shared" si="14"/>
        <v>0</v>
      </c>
      <c r="AT49" s="200">
        <f t="shared" si="15"/>
        <v>0.9971150676602983</v>
      </c>
    </row>
    <row r="50" spans="1:46" s="27" customFormat="1" ht="12.75">
      <c r="A50" s="54" t="s">
        <v>247</v>
      </c>
      <c r="B50" s="139" t="s">
        <v>239</v>
      </c>
      <c r="C50" s="140">
        <f>17929348-3849348</f>
        <v>14080000</v>
      </c>
      <c r="D50" s="140">
        <v>8000000</v>
      </c>
      <c r="E50" s="131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1080000</v>
      </c>
      <c r="K50" s="140">
        <v>0</v>
      </c>
      <c r="L50" s="140">
        <v>0</v>
      </c>
      <c r="M50" s="140">
        <v>0</v>
      </c>
      <c r="N50" s="140">
        <v>0</v>
      </c>
      <c r="O50" s="140">
        <v>4999349</v>
      </c>
      <c r="P50" s="140">
        <f t="shared" si="11"/>
        <v>14079349</v>
      </c>
      <c r="Q50" s="140">
        <v>0</v>
      </c>
      <c r="R50" s="132">
        <v>0</v>
      </c>
      <c r="S50" s="140">
        <v>660000</v>
      </c>
      <c r="T50" s="140">
        <v>0</v>
      </c>
      <c r="U50" s="140">
        <v>500000</v>
      </c>
      <c r="V50" s="140">
        <v>220000</v>
      </c>
      <c r="W50" s="140">
        <v>0</v>
      </c>
      <c r="X50" s="140">
        <v>3700000</v>
      </c>
      <c r="Y50" s="140">
        <v>440000</v>
      </c>
      <c r="Z50" s="140">
        <v>1440000</v>
      </c>
      <c r="AA50" s="140">
        <v>0</v>
      </c>
      <c r="AB50" s="140">
        <v>6099349</v>
      </c>
      <c r="AC50" s="140">
        <f t="shared" si="12"/>
        <v>13059349</v>
      </c>
      <c r="AD50" s="140">
        <v>0</v>
      </c>
      <c r="AE50" s="132">
        <v>0</v>
      </c>
      <c r="AF50" s="140">
        <v>660000</v>
      </c>
      <c r="AG50" s="140">
        <v>0</v>
      </c>
      <c r="AH50" s="140">
        <v>500000</v>
      </c>
      <c r="AI50" s="140">
        <v>0</v>
      </c>
      <c r="AJ50" s="140">
        <v>220000</v>
      </c>
      <c r="AK50" s="140">
        <v>3700000</v>
      </c>
      <c r="AL50" s="140">
        <v>440000</v>
      </c>
      <c r="AM50" s="140">
        <v>0</v>
      </c>
      <c r="AN50" s="140">
        <v>1440000</v>
      </c>
      <c r="AO50" s="140">
        <v>6099349</v>
      </c>
      <c r="AP50" s="247">
        <f t="shared" si="13"/>
        <v>13059349</v>
      </c>
      <c r="AQ50" s="27">
        <f t="shared" si="5"/>
        <v>651</v>
      </c>
      <c r="AR50" s="27">
        <f t="shared" si="6"/>
        <v>1020000</v>
      </c>
      <c r="AS50" s="27">
        <f t="shared" si="14"/>
        <v>0</v>
      </c>
      <c r="AT50" s="200">
        <f t="shared" si="15"/>
        <v>0.9999537642045454</v>
      </c>
    </row>
    <row r="51" spans="1:46" s="27" customFormat="1" ht="12.75">
      <c r="A51" s="54" t="s">
        <v>248</v>
      </c>
      <c r="B51" s="139" t="s">
        <v>240</v>
      </c>
      <c r="C51" s="140">
        <f>12000000+600000-3500000+120720</f>
        <v>9220720</v>
      </c>
      <c r="D51" s="140">
        <v>0</v>
      </c>
      <c r="E51" s="131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974000</v>
      </c>
      <c r="K51" s="140">
        <v>859600</v>
      </c>
      <c r="L51" s="140">
        <v>1080210</v>
      </c>
      <c r="M51" s="140">
        <v>240000</v>
      </c>
      <c r="N51" s="140">
        <v>1602000</v>
      </c>
      <c r="O51" s="140">
        <v>4271720</v>
      </c>
      <c r="P51" s="140">
        <f t="shared" si="11"/>
        <v>9027530</v>
      </c>
      <c r="Q51" s="140">
        <v>0</v>
      </c>
      <c r="R51" s="132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1833600</v>
      </c>
      <c r="Y51" s="140">
        <v>513210</v>
      </c>
      <c r="Z51" s="140">
        <v>567000</v>
      </c>
      <c r="AA51" s="140">
        <v>1146000</v>
      </c>
      <c r="AB51" s="140">
        <v>4967720</v>
      </c>
      <c r="AC51" s="140">
        <f t="shared" si="12"/>
        <v>9027530</v>
      </c>
      <c r="AD51" s="140">
        <v>0</v>
      </c>
      <c r="AE51" s="132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1833600</v>
      </c>
      <c r="AL51" s="140">
        <v>513210</v>
      </c>
      <c r="AM51" s="140">
        <v>567000</v>
      </c>
      <c r="AN51" s="140">
        <v>1146000</v>
      </c>
      <c r="AO51" s="140">
        <v>3117720</v>
      </c>
      <c r="AP51" s="247">
        <f t="shared" si="13"/>
        <v>7177530</v>
      </c>
      <c r="AQ51" s="27">
        <f t="shared" si="5"/>
        <v>193190</v>
      </c>
      <c r="AR51" s="27">
        <f t="shared" si="6"/>
        <v>0</v>
      </c>
      <c r="AS51" s="27">
        <f>SUM(AC51-AP51)</f>
        <v>1850000</v>
      </c>
      <c r="AT51" s="200">
        <f t="shared" si="15"/>
        <v>0.9790482738875055</v>
      </c>
    </row>
    <row r="52" spans="1:46" s="27" customFormat="1" ht="12.75">
      <c r="A52" s="54" t="s">
        <v>249</v>
      </c>
      <c r="B52" s="139" t="s">
        <v>241</v>
      </c>
      <c r="C52" s="140">
        <f>261501243-1427999</f>
        <v>260073244</v>
      </c>
      <c r="D52" s="140">
        <v>6107799</v>
      </c>
      <c r="E52" s="131">
        <v>7839430</v>
      </c>
      <c r="F52" s="140">
        <v>3683787</v>
      </c>
      <c r="G52" s="140">
        <v>26357815</v>
      </c>
      <c r="H52" s="140">
        <v>28956988</v>
      </c>
      <c r="I52" s="140">
        <v>5172019</v>
      </c>
      <c r="J52" s="140">
        <v>41286979</v>
      </c>
      <c r="K52" s="140">
        <v>26223269</v>
      </c>
      <c r="L52" s="140">
        <v>32371179</v>
      </c>
      <c r="M52" s="140">
        <v>15985863</v>
      </c>
      <c r="N52" s="140">
        <v>31693850</v>
      </c>
      <c r="O52" s="140">
        <v>27289554</v>
      </c>
      <c r="P52" s="140">
        <f t="shared" si="11"/>
        <v>252968532</v>
      </c>
      <c r="Q52" s="140">
        <v>6107799</v>
      </c>
      <c r="R52" s="132">
        <v>7839430</v>
      </c>
      <c r="S52" s="140">
        <v>3683787</v>
      </c>
      <c r="T52" s="140">
        <v>25588065</v>
      </c>
      <c r="U52" s="140">
        <v>29726738</v>
      </c>
      <c r="V52" s="140">
        <v>5128339</v>
      </c>
      <c r="W52" s="140">
        <v>41330659</v>
      </c>
      <c r="X52" s="140">
        <v>26203387</v>
      </c>
      <c r="Y52" s="140">
        <v>31790870</v>
      </c>
      <c r="Z52" s="140">
        <v>16586054</v>
      </c>
      <c r="AA52" s="140">
        <v>30762195</v>
      </c>
      <c r="AB52" s="140">
        <v>28221209</v>
      </c>
      <c r="AC52" s="140">
        <f t="shared" si="12"/>
        <v>252968532</v>
      </c>
      <c r="AD52" s="140">
        <v>1827799</v>
      </c>
      <c r="AE52" s="132">
        <v>12119430</v>
      </c>
      <c r="AF52" s="140">
        <v>3683787</v>
      </c>
      <c r="AG52" s="140">
        <v>25233925</v>
      </c>
      <c r="AH52" s="140">
        <v>30080878</v>
      </c>
      <c r="AI52" s="140">
        <v>4770467</v>
      </c>
      <c r="AJ52" s="140">
        <v>41688531</v>
      </c>
      <c r="AK52" s="140">
        <v>26203387</v>
      </c>
      <c r="AL52" s="140">
        <v>31790870</v>
      </c>
      <c r="AM52" s="140">
        <v>16586054</v>
      </c>
      <c r="AN52" s="140">
        <v>17122134</v>
      </c>
      <c r="AO52" s="140">
        <v>41604320</v>
      </c>
      <c r="AP52" s="247">
        <f t="shared" si="13"/>
        <v>252711582</v>
      </c>
      <c r="AQ52" s="27">
        <f t="shared" si="5"/>
        <v>7104712</v>
      </c>
      <c r="AR52" s="27">
        <f>SUM(P52-AC52)</f>
        <v>0</v>
      </c>
      <c r="AS52" s="27">
        <f>SUM(AC52-AP52)</f>
        <v>256950</v>
      </c>
      <c r="AT52" s="200">
        <f t="shared" si="15"/>
        <v>0.9726818803398323</v>
      </c>
    </row>
    <row r="53" spans="1:46" s="27" customFormat="1" ht="13.5" thickBot="1">
      <c r="A53" s="54" t="s">
        <v>250</v>
      </c>
      <c r="B53" s="139" t="s">
        <v>242</v>
      </c>
      <c r="C53" s="140">
        <f>85000000+17000000+149697415-22677905</f>
        <v>229019510</v>
      </c>
      <c r="D53" s="140">
        <v>80439068</v>
      </c>
      <c r="E53" s="131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97738544</v>
      </c>
      <c r="L53" s="140">
        <v>0</v>
      </c>
      <c r="M53" s="140">
        <v>0</v>
      </c>
      <c r="N53" s="140">
        <v>14543</v>
      </c>
      <c r="O53" s="140">
        <v>50827355</v>
      </c>
      <c r="P53" s="140">
        <f t="shared" si="11"/>
        <v>229019510</v>
      </c>
      <c r="Q53" s="140">
        <v>11725709</v>
      </c>
      <c r="R53" s="132">
        <v>3578029</v>
      </c>
      <c r="S53" s="140">
        <v>40000000</v>
      </c>
      <c r="T53" s="140">
        <v>13079630</v>
      </c>
      <c r="U53" s="140">
        <v>0</v>
      </c>
      <c r="V53" s="140">
        <v>1149831</v>
      </c>
      <c r="W53" s="140">
        <v>0</v>
      </c>
      <c r="X53" s="140">
        <v>97738544</v>
      </c>
      <c r="Y53" s="140">
        <v>0</v>
      </c>
      <c r="Z53" s="140">
        <v>0</v>
      </c>
      <c r="AA53" s="140">
        <v>10920412</v>
      </c>
      <c r="AB53" s="140">
        <v>50827355</v>
      </c>
      <c r="AC53" s="140">
        <f t="shared" si="12"/>
        <v>229019510</v>
      </c>
      <c r="AD53" s="140">
        <v>11725709</v>
      </c>
      <c r="AE53" s="132">
        <v>3578029</v>
      </c>
      <c r="AF53" s="140">
        <v>40000000</v>
      </c>
      <c r="AG53" s="140">
        <v>0</v>
      </c>
      <c r="AH53" s="140">
        <v>13079630</v>
      </c>
      <c r="AI53" s="140">
        <v>0</v>
      </c>
      <c r="AJ53" s="140">
        <v>1149831</v>
      </c>
      <c r="AK53" s="140">
        <v>97738544</v>
      </c>
      <c r="AL53" s="140">
        <v>0</v>
      </c>
      <c r="AM53" s="140">
        <v>0</v>
      </c>
      <c r="AN53" s="140">
        <v>0</v>
      </c>
      <c r="AO53" s="140">
        <v>61747767</v>
      </c>
      <c r="AP53" s="248">
        <f t="shared" si="13"/>
        <v>229019510</v>
      </c>
      <c r="AQ53" s="27">
        <f>SUM(C53-P53)</f>
        <v>0</v>
      </c>
      <c r="AR53" s="27">
        <f>SUM(P53-AC53)</f>
        <v>0</v>
      </c>
      <c r="AS53" s="27">
        <f>SUM(AC53-AP53)</f>
        <v>0</v>
      </c>
      <c r="AT53" s="200">
        <f t="shared" si="15"/>
        <v>1</v>
      </c>
    </row>
    <row r="54" spans="1:46" s="34" customFormat="1" ht="13.5" thickBot="1">
      <c r="A54" s="96"/>
      <c r="B54" s="136" t="s">
        <v>106</v>
      </c>
      <c r="C54" s="137">
        <f aca="true" t="shared" si="16" ref="C54:AS54">SUM(C55:C56)</f>
        <v>307184989</v>
      </c>
      <c r="D54" s="137">
        <f t="shared" si="16"/>
        <v>0</v>
      </c>
      <c r="E54" s="137">
        <f t="shared" si="16"/>
        <v>0</v>
      </c>
      <c r="F54" s="137">
        <f t="shared" si="16"/>
        <v>0</v>
      </c>
      <c r="G54" s="137">
        <f t="shared" si="16"/>
        <v>0</v>
      </c>
      <c r="H54" s="137">
        <f t="shared" si="16"/>
        <v>0</v>
      </c>
      <c r="I54" s="137">
        <f t="shared" si="16"/>
        <v>0</v>
      </c>
      <c r="J54" s="137">
        <f t="shared" si="16"/>
        <v>0</v>
      </c>
      <c r="K54" s="137">
        <f t="shared" si="16"/>
        <v>0</v>
      </c>
      <c r="L54" s="137">
        <f t="shared" si="16"/>
        <v>0</v>
      </c>
      <c r="M54" s="137">
        <f t="shared" si="16"/>
        <v>71752736</v>
      </c>
      <c r="N54" s="137">
        <f t="shared" si="16"/>
        <v>0</v>
      </c>
      <c r="O54" s="137">
        <f t="shared" si="16"/>
        <v>235432253</v>
      </c>
      <c r="P54" s="137">
        <f t="shared" si="16"/>
        <v>307184989</v>
      </c>
      <c r="Q54" s="137">
        <f t="shared" si="16"/>
        <v>0</v>
      </c>
      <c r="R54" s="137">
        <f t="shared" si="16"/>
        <v>0</v>
      </c>
      <c r="S54" s="137">
        <f t="shared" si="16"/>
        <v>0</v>
      </c>
      <c r="T54" s="137">
        <f t="shared" si="16"/>
        <v>0</v>
      </c>
      <c r="U54" s="137">
        <f t="shared" si="16"/>
        <v>0</v>
      </c>
      <c r="V54" s="137">
        <f t="shared" si="16"/>
        <v>0</v>
      </c>
      <c r="W54" s="137">
        <f t="shared" si="16"/>
        <v>0</v>
      </c>
      <c r="X54" s="137">
        <f t="shared" si="16"/>
        <v>0</v>
      </c>
      <c r="Y54" s="137">
        <f t="shared" si="16"/>
        <v>0</v>
      </c>
      <c r="Z54" s="137">
        <f t="shared" si="16"/>
        <v>71752736</v>
      </c>
      <c r="AA54" s="137">
        <f t="shared" si="16"/>
        <v>0</v>
      </c>
      <c r="AB54" s="137">
        <f t="shared" si="16"/>
        <v>235432253</v>
      </c>
      <c r="AC54" s="137">
        <f t="shared" si="16"/>
        <v>307184989</v>
      </c>
      <c r="AD54" s="137">
        <f t="shared" si="16"/>
        <v>0</v>
      </c>
      <c r="AE54" s="137">
        <f t="shared" si="16"/>
        <v>0</v>
      </c>
      <c r="AF54" s="137">
        <f t="shared" si="16"/>
        <v>0</v>
      </c>
      <c r="AG54" s="137">
        <f t="shared" si="16"/>
        <v>0</v>
      </c>
      <c r="AH54" s="137">
        <f t="shared" si="16"/>
        <v>0</v>
      </c>
      <c r="AI54" s="137">
        <f t="shared" si="16"/>
        <v>0</v>
      </c>
      <c r="AJ54" s="137">
        <f t="shared" si="16"/>
        <v>0</v>
      </c>
      <c r="AK54" s="137">
        <f t="shared" si="16"/>
        <v>0</v>
      </c>
      <c r="AL54" s="137">
        <f t="shared" si="16"/>
        <v>0</v>
      </c>
      <c r="AM54" s="137">
        <f t="shared" si="16"/>
        <v>71752736</v>
      </c>
      <c r="AN54" s="137">
        <f t="shared" si="16"/>
        <v>0</v>
      </c>
      <c r="AO54" s="137">
        <f t="shared" si="16"/>
        <v>235432253</v>
      </c>
      <c r="AP54" s="125">
        <f t="shared" si="16"/>
        <v>307184989</v>
      </c>
      <c r="AQ54" s="138">
        <f t="shared" si="16"/>
        <v>0</v>
      </c>
      <c r="AR54" s="137">
        <f t="shared" si="16"/>
        <v>0</v>
      </c>
      <c r="AS54" s="137">
        <f t="shared" si="16"/>
        <v>0</v>
      </c>
      <c r="AT54" s="200">
        <f t="shared" si="15"/>
        <v>1</v>
      </c>
    </row>
    <row r="55" spans="1:46" s="27" customFormat="1" ht="12.75">
      <c r="A55" s="185" t="s">
        <v>66</v>
      </c>
      <c r="B55" s="145" t="s">
        <v>113</v>
      </c>
      <c r="C55" s="146">
        <f>71752736+235432253</f>
        <v>307184989</v>
      </c>
      <c r="D55" s="146">
        <v>0</v>
      </c>
      <c r="E55" s="146">
        <v>0</v>
      </c>
      <c r="F55" s="146">
        <v>0</v>
      </c>
      <c r="G55" s="146">
        <v>0</v>
      </c>
      <c r="H55" s="146"/>
      <c r="I55" s="146"/>
      <c r="J55" s="131">
        <v>0</v>
      </c>
      <c r="K55" s="146">
        <v>0</v>
      </c>
      <c r="L55" s="146">
        <v>0</v>
      </c>
      <c r="M55" s="146">
        <v>71752736</v>
      </c>
      <c r="N55" s="131">
        <v>0</v>
      </c>
      <c r="O55" s="131">
        <v>235432253</v>
      </c>
      <c r="P55" s="132">
        <f>SUM(D55:O55)</f>
        <v>307184989</v>
      </c>
      <c r="Q55" s="131"/>
      <c r="R55" s="132">
        <v>0</v>
      </c>
      <c r="S55" s="132">
        <v>0</v>
      </c>
      <c r="T55" s="146">
        <v>0</v>
      </c>
      <c r="U55" s="132"/>
      <c r="V55" s="131">
        <v>0</v>
      </c>
      <c r="W55" s="131">
        <v>0</v>
      </c>
      <c r="X55" s="131">
        <v>0</v>
      </c>
      <c r="Y55" s="131">
        <v>0</v>
      </c>
      <c r="Z55" s="131">
        <v>71752736</v>
      </c>
      <c r="AA55" s="131">
        <v>0</v>
      </c>
      <c r="AB55" s="131">
        <v>235432253</v>
      </c>
      <c r="AC55" s="132">
        <f>SUM(Q55:AB55)</f>
        <v>307184989</v>
      </c>
      <c r="AD55" s="131">
        <v>0</v>
      </c>
      <c r="AE55" s="132">
        <v>0</v>
      </c>
      <c r="AF55" s="131">
        <v>0</v>
      </c>
      <c r="AG55" s="131">
        <v>0</v>
      </c>
      <c r="AH55" s="131"/>
      <c r="AI55" s="131">
        <v>0</v>
      </c>
      <c r="AJ55" s="131">
        <v>0</v>
      </c>
      <c r="AK55" s="131">
        <v>0</v>
      </c>
      <c r="AL55" s="146">
        <v>0</v>
      </c>
      <c r="AM55" s="132">
        <v>71752736</v>
      </c>
      <c r="AN55" s="131">
        <v>0</v>
      </c>
      <c r="AO55" s="131">
        <v>235432253</v>
      </c>
      <c r="AP55" s="133">
        <f>SUM(AD55:AO55)</f>
        <v>307184989</v>
      </c>
      <c r="AQ55" s="27">
        <f>SUM(C55-P55)</f>
        <v>0</v>
      </c>
      <c r="AR55" s="27">
        <f>SUM(P55-AC55)</f>
        <v>0</v>
      </c>
      <c r="AS55" s="27">
        <f>SUM(AC55-AP55)</f>
        <v>0</v>
      </c>
      <c r="AT55" s="200">
        <f aca="true" t="shared" si="17" ref="AT55:AT66">P55/C55</f>
        <v>1</v>
      </c>
    </row>
    <row r="56" spans="1:46" s="27" customFormat="1" ht="13.5" thickBot="1">
      <c r="A56" s="51" t="s">
        <v>128</v>
      </c>
      <c r="B56" s="130" t="s">
        <v>251</v>
      </c>
      <c r="C56" s="131">
        <f>432386000-149697415-282688585</f>
        <v>0</v>
      </c>
      <c r="D56" s="131">
        <v>0</v>
      </c>
      <c r="E56" s="131">
        <v>0</v>
      </c>
      <c r="F56" s="131">
        <v>0</v>
      </c>
      <c r="G56" s="131">
        <v>0</v>
      </c>
      <c r="H56" s="131"/>
      <c r="I56" s="131"/>
      <c r="J56" s="131">
        <v>0</v>
      </c>
      <c r="K56" s="146">
        <v>0</v>
      </c>
      <c r="L56" s="146">
        <v>0</v>
      </c>
      <c r="M56" s="146">
        <v>0</v>
      </c>
      <c r="N56" s="131">
        <v>0</v>
      </c>
      <c r="O56" s="131">
        <v>0</v>
      </c>
      <c r="P56" s="132">
        <f>SUM(D56:O56)</f>
        <v>0</v>
      </c>
      <c r="Q56" s="131"/>
      <c r="R56" s="132">
        <v>0</v>
      </c>
      <c r="S56" s="132">
        <v>0</v>
      </c>
      <c r="T56" s="131">
        <v>0</v>
      </c>
      <c r="U56" s="132"/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2">
        <f>SUM(Q56:AB56)</f>
        <v>0</v>
      </c>
      <c r="AD56" s="131">
        <v>0</v>
      </c>
      <c r="AE56" s="132">
        <v>0</v>
      </c>
      <c r="AF56" s="131">
        <v>0</v>
      </c>
      <c r="AG56" s="131">
        <v>0</v>
      </c>
      <c r="AH56" s="131"/>
      <c r="AI56" s="131">
        <v>0</v>
      </c>
      <c r="AJ56" s="131">
        <v>0</v>
      </c>
      <c r="AK56" s="131">
        <v>0</v>
      </c>
      <c r="AL56" s="146">
        <v>0</v>
      </c>
      <c r="AM56" s="132">
        <v>0</v>
      </c>
      <c r="AN56" s="131">
        <v>0</v>
      </c>
      <c r="AO56" s="131">
        <v>0</v>
      </c>
      <c r="AP56" s="133">
        <f>SUM(AD56:AO56)</f>
        <v>0</v>
      </c>
      <c r="AQ56" s="27">
        <f>SUM(C56-P56)</f>
        <v>0</v>
      </c>
      <c r="AR56" s="27">
        <f>SUM(P56-AC56)</f>
        <v>0</v>
      </c>
      <c r="AS56" s="27">
        <f>SUM(AC56-AP56)</f>
        <v>0</v>
      </c>
      <c r="AT56" s="200" t="e">
        <f t="shared" si="17"/>
        <v>#DIV/0!</v>
      </c>
    </row>
    <row r="57" spans="1:46" s="34" customFormat="1" ht="18" customHeight="1" thickBot="1">
      <c r="A57" s="96"/>
      <c r="B57" s="136" t="s">
        <v>83</v>
      </c>
      <c r="C57" s="137">
        <f aca="true" t="shared" si="18" ref="C57:AR57">SUM(C58:C77)</f>
        <v>39057000000</v>
      </c>
      <c r="D57" s="137">
        <f t="shared" si="18"/>
        <v>33530241911</v>
      </c>
      <c r="E57" s="238">
        <f t="shared" si="18"/>
        <v>-3181315</v>
      </c>
      <c r="F57" s="238">
        <f t="shared" si="18"/>
        <v>-8403202</v>
      </c>
      <c r="G57" s="238">
        <f t="shared" si="18"/>
        <v>-5441602</v>
      </c>
      <c r="H57" s="238">
        <f t="shared" si="18"/>
        <v>294545560</v>
      </c>
      <c r="I57" s="137">
        <f t="shared" si="18"/>
        <v>16812466</v>
      </c>
      <c r="J57" s="137">
        <f t="shared" si="18"/>
        <v>19642428</v>
      </c>
      <c r="K57" s="137">
        <f t="shared" si="18"/>
        <v>2503901878</v>
      </c>
      <c r="L57" s="137">
        <f t="shared" si="18"/>
        <v>69645938</v>
      </c>
      <c r="M57" s="137">
        <f t="shared" si="18"/>
        <v>405956629</v>
      </c>
      <c r="N57" s="137">
        <f t="shared" si="18"/>
        <v>109090787</v>
      </c>
      <c r="O57" s="137">
        <f t="shared" si="18"/>
        <v>2096580649.04</v>
      </c>
      <c r="P57" s="137">
        <f t="shared" si="18"/>
        <v>39029392127.04</v>
      </c>
      <c r="Q57" s="137">
        <f t="shared" si="18"/>
        <v>473440</v>
      </c>
      <c r="R57" s="137">
        <f t="shared" si="18"/>
        <v>12649423291</v>
      </c>
      <c r="S57" s="137">
        <f t="shared" si="18"/>
        <v>6664043904</v>
      </c>
      <c r="T57" s="137">
        <f t="shared" si="18"/>
        <v>560403115</v>
      </c>
      <c r="U57" s="137">
        <f t="shared" si="18"/>
        <v>426504327</v>
      </c>
      <c r="V57" s="137">
        <f t="shared" si="18"/>
        <v>122352270</v>
      </c>
      <c r="W57" s="137">
        <f t="shared" si="18"/>
        <v>5135889437</v>
      </c>
      <c r="X57" s="137">
        <f t="shared" si="18"/>
        <v>1919290393</v>
      </c>
      <c r="Y57" s="137">
        <f t="shared" si="18"/>
        <v>95630865</v>
      </c>
      <c r="Z57" s="137">
        <f t="shared" si="18"/>
        <v>266846957</v>
      </c>
      <c r="AA57" s="137">
        <f t="shared" si="18"/>
        <v>6034505324</v>
      </c>
      <c r="AB57" s="137">
        <f t="shared" si="18"/>
        <v>3529916841</v>
      </c>
      <c r="AC57" s="137">
        <f t="shared" si="18"/>
        <v>37405280164</v>
      </c>
      <c r="AD57" s="137">
        <f t="shared" si="18"/>
        <v>0</v>
      </c>
      <c r="AE57" s="137">
        <f t="shared" si="18"/>
        <v>12647996540</v>
      </c>
      <c r="AF57" s="137">
        <f t="shared" si="18"/>
        <v>6649340287</v>
      </c>
      <c r="AG57" s="137">
        <f t="shared" si="18"/>
        <v>576671923</v>
      </c>
      <c r="AH57" s="137">
        <f t="shared" si="18"/>
        <v>408513114</v>
      </c>
      <c r="AI57" s="137">
        <f t="shared" si="18"/>
        <v>122825206</v>
      </c>
      <c r="AJ57" s="137">
        <f t="shared" si="18"/>
        <v>5140059167</v>
      </c>
      <c r="AK57" s="137">
        <f t="shared" si="18"/>
        <v>1920246643</v>
      </c>
      <c r="AL57" s="137">
        <f t="shared" si="18"/>
        <v>98696493</v>
      </c>
      <c r="AM57" s="137">
        <f t="shared" si="18"/>
        <v>276432626</v>
      </c>
      <c r="AN57" s="137">
        <f t="shared" si="18"/>
        <v>6009429284</v>
      </c>
      <c r="AO57" s="137">
        <f t="shared" si="18"/>
        <v>3163961761</v>
      </c>
      <c r="AP57" s="125">
        <f t="shared" si="18"/>
        <v>37014173044</v>
      </c>
      <c r="AQ57" s="138">
        <f t="shared" si="18"/>
        <v>27607872.96000004</v>
      </c>
      <c r="AR57" s="137">
        <f t="shared" si="18"/>
        <v>1624111963.04</v>
      </c>
      <c r="AS57" s="152">
        <f>SUM(AS58:AS76)</f>
        <v>391107120</v>
      </c>
      <c r="AT57" s="200">
        <f t="shared" si="17"/>
        <v>0.9992931389261849</v>
      </c>
    </row>
    <row r="58" spans="1:46" s="12" customFormat="1" ht="12.75">
      <c r="A58" s="223" t="s">
        <v>148</v>
      </c>
      <c r="B58" s="29" t="s">
        <v>138</v>
      </c>
      <c r="C58" s="140">
        <v>500000000</v>
      </c>
      <c r="D58" s="140">
        <v>500000000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v>0</v>
      </c>
      <c r="O58" s="197">
        <v>0</v>
      </c>
      <c r="P58" s="141">
        <f aca="true" t="shared" si="19" ref="P58:P77">SUM(D58:O58)</f>
        <v>500000000</v>
      </c>
      <c r="Q58" s="140">
        <v>0</v>
      </c>
      <c r="R58" s="140">
        <v>250000000</v>
      </c>
      <c r="S58" s="140">
        <v>0</v>
      </c>
      <c r="T58" s="140">
        <v>250000000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97">
        <v>0</v>
      </c>
      <c r="AC58" s="141">
        <f aca="true" t="shared" si="20" ref="AC58:AC77">SUM(Q58:AB58)</f>
        <v>500000000</v>
      </c>
      <c r="AD58" s="140">
        <v>0</v>
      </c>
      <c r="AE58" s="140">
        <v>250000000</v>
      </c>
      <c r="AF58" s="140">
        <v>0</v>
      </c>
      <c r="AG58" s="140">
        <v>250000000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0">
        <v>0</v>
      </c>
      <c r="AN58" s="140">
        <v>0</v>
      </c>
      <c r="AO58" s="197">
        <v>0</v>
      </c>
      <c r="AP58" s="133">
        <f aca="true" t="shared" si="21" ref="AP58:AP77">SUM(AD58:AO58)</f>
        <v>500000000</v>
      </c>
      <c r="AQ58" s="12">
        <f aca="true" t="shared" si="22" ref="AQ58:AQ77">SUM(C58-P58)</f>
        <v>0</v>
      </c>
      <c r="AR58" s="12">
        <f aca="true" t="shared" si="23" ref="AR58:AR77">SUM(P58-AC58)</f>
        <v>0</v>
      </c>
      <c r="AS58" s="12">
        <f aca="true" t="shared" si="24" ref="AS58:AS77">SUM(AC58-AP58)</f>
        <v>0</v>
      </c>
      <c r="AT58" s="200">
        <f t="shared" si="17"/>
        <v>1</v>
      </c>
    </row>
    <row r="59" spans="1:46" s="12" customFormat="1" ht="12.75">
      <c r="A59" s="222" t="s">
        <v>149</v>
      </c>
      <c r="B59" s="29" t="s">
        <v>139</v>
      </c>
      <c r="C59" s="140">
        <v>721000000</v>
      </c>
      <c r="D59" s="140">
        <v>721000000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0</v>
      </c>
      <c r="M59" s="197">
        <v>0</v>
      </c>
      <c r="N59" s="140">
        <v>0</v>
      </c>
      <c r="O59" s="140">
        <v>0</v>
      </c>
      <c r="P59" s="141">
        <f t="shared" si="19"/>
        <v>721000000</v>
      </c>
      <c r="Q59" s="140">
        <v>0</v>
      </c>
      <c r="R59" s="140">
        <v>360500000</v>
      </c>
      <c r="S59" s="140">
        <v>0</v>
      </c>
      <c r="T59" s="140">
        <v>162058782</v>
      </c>
      <c r="U59" s="140">
        <v>0</v>
      </c>
      <c r="V59" s="140">
        <v>0</v>
      </c>
      <c r="W59" s="140">
        <v>198441218</v>
      </c>
      <c r="X59" s="140">
        <v>0</v>
      </c>
      <c r="Y59" s="140">
        <v>0</v>
      </c>
      <c r="Z59" s="197">
        <v>0</v>
      </c>
      <c r="AA59" s="140">
        <v>0</v>
      </c>
      <c r="AB59" s="140">
        <v>0</v>
      </c>
      <c r="AC59" s="141">
        <f t="shared" si="20"/>
        <v>721000000</v>
      </c>
      <c r="AD59" s="140">
        <v>0</v>
      </c>
      <c r="AE59" s="140">
        <v>360500000</v>
      </c>
      <c r="AF59" s="140">
        <v>0</v>
      </c>
      <c r="AG59" s="140">
        <v>162058782</v>
      </c>
      <c r="AH59" s="140">
        <v>0</v>
      </c>
      <c r="AI59" s="140">
        <v>0</v>
      </c>
      <c r="AJ59" s="140">
        <v>198441218</v>
      </c>
      <c r="AK59" s="140">
        <v>0</v>
      </c>
      <c r="AL59" s="140">
        <v>0</v>
      </c>
      <c r="AM59" s="197">
        <v>0</v>
      </c>
      <c r="AN59" s="140">
        <v>0</v>
      </c>
      <c r="AO59" s="140">
        <v>0</v>
      </c>
      <c r="AP59" s="133">
        <f t="shared" si="21"/>
        <v>721000000</v>
      </c>
      <c r="AQ59" s="12">
        <f t="shared" si="22"/>
        <v>0</v>
      </c>
      <c r="AR59" s="12">
        <f t="shared" si="23"/>
        <v>0</v>
      </c>
      <c r="AS59" s="12">
        <f t="shared" si="24"/>
        <v>0</v>
      </c>
      <c r="AT59" s="200">
        <f t="shared" si="17"/>
        <v>1</v>
      </c>
    </row>
    <row r="60" spans="1:46" s="12" customFormat="1" ht="12.75">
      <c r="A60" s="222" t="s">
        <v>272</v>
      </c>
      <c r="B60" s="29" t="s">
        <v>155</v>
      </c>
      <c r="C60" s="140">
        <v>6505000000</v>
      </c>
      <c r="D60" s="140">
        <v>6505000000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97">
        <v>0</v>
      </c>
      <c r="K60" s="140">
        <v>0</v>
      </c>
      <c r="L60" s="140">
        <v>0</v>
      </c>
      <c r="M60" s="197">
        <v>0</v>
      </c>
      <c r="N60" s="140">
        <v>0</v>
      </c>
      <c r="O60" s="140">
        <v>0</v>
      </c>
      <c r="P60" s="141">
        <f t="shared" si="19"/>
        <v>6505000000</v>
      </c>
      <c r="Q60" s="140">
        <v>0</v>
      </c>
      <c r="R60" s="140">
        <v>0</v>
      </c>
      <c r="S60" s="140">
        <v>6505000000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97">
        <v>0</v>
      </c>
      <c r="AA60" s="140">
        <v>0</v>
      </c>
      <c r="AB60" s="140">
        <v>0</v>
      </c>
      <c r="AC60" s="141">
        <f t="shared" si="20"/>
        <v>6505000000</v>
      </c>
      <c r="AD60" s="140">
        <v>0</v>
      </c>
      <c r="AE60" s="140">
        <v>0</v>
      </c>
      <c r="AF60" s="140">
        <v>6505000000</v>
      </c>
      <c r="AG60" s="140">
        <v>0</v>
      </c>
      <c r="AH60" s="140">
        <v>0</v>
      </c>
      <c r="AI60" s="140">
        <v>0</v>
      </c>
      <c r="AJ60" s="140">
        <v>0</v>
      </c>
      <c r="AK60" s="140">
        <v>0</v>
      </c>
      <c r="AL60" s="140">
        <v>0</v>
      </c>
      <c r="AM60" s="197">
        <v>0</v>
      </c>
      <c r="AN60" s="140">
        <v>0</v>
      </c>
      <c r="AO60" s="140">
        <v>0</v>
      </c>
      <c r="AP60" s="133">
        <f t="shared" si="21"/>
        <v>6505000000</v>
      </c>
      <c r="AQ60" s="12">
        <f t="shared" si="22"/>
        <v>0</v>
      </c>
      <c r="AR60" s="12">
        <f t="shared" si="23"/>
        <v>0</v>
      </c>
      <c r="AS60" s="12">
        <f t="shared" si="24"/>
        <v>0</v>
      </c>
      <c r="AT60" s="200">
        <f t="shared" si="17"/>
        <v>1</v>
      </c>
    </row>
    <row r="61" spans="1:46" s="12" customFormat="1" ht="12.75">
      <c r="A61" s="222" t="s">
        <v>157</v>
      </c>
      <c r="B61" s="29" t="s">
        <v>158</v>
      </c>
      <c r="C61" s="140">
        <v>300000000</v>
      </c>
      <c r="D61" s="140">
        <v>300000000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0</v>
      </c>
      <c r="M61" s="197">
        <v>0</v>
      </c>
      <c r="N61" s="140">
        <v>0</v>
      </c>
      <c r="O61" s="140">
        <v>0</v>
      </c>
      <c r="P61" s="141">
        <f t="shared" si="19"/>
        <v>300000000</v>
      </c>
      <c r="Q61" s="140">
        <v>0</v>
      </c>
      <c r="R61" s="140">
        <v>145000000</v>
      </c>
      <c r="S61" s="140">
        <v>0</v>
      </c>
      <c r="T61" s="140">
        <v>9124427</v>
      </c>
      <c r="U61" s="140">
        <v>0</v>
      </c>
      <c r="V61" s="140">
        <v>0</v>
      </c>
      <c r="W61" s="140">
        <v>145000000</v>
      </c>
      <c r="X61" s="140">
        <v>875573</v>
      </c>
      <c r="Y61" s="140">
        <v>0</v>
      </c>
      <c r="Z61" s="197">
        <v>0</v>
      </c>
      <c r="AA61" s="140">
        <v>0</v>
      </c>
      <c r="AB61" s="140">
        <v>0</v>
      </c>
      <c r="AC61" s="141">
        <f t="shared" si="20"/>
        <v>300000000</v>
      </c>
      <c r="AD61" s="140">
        <v>0</v>
      </c>
      <c r="AE61" s="140">
        <v>145000000</v>
      </c>
      <c r="AF61" s="140">
        <v>0</v>
      </c>
      <c r="AG61" s="140">
        <v>9124427</v>
      </c>
      <c r="AH61" s="140">
        <v>0</v>
      </c>
      <c r="AI61" s="140">
        <v>0</v>
      </c>
      <c r="AJ61" s="140">
        <v>145000000</v>
      </c>
      <c r="AK61" s="140">
        <v>875573</v>
      </c>
      <c r="AL61" s="140">
        <v>0</v>
      </c>
      <c r="AM61" s="197">
        <v>0</v>
      </c>
      <c r="AN61" s="140">
        <v>0</v>
      </c>
      <c r="AO61" s="140">
        <v>0</v>
      </c>
      <c r="AP61" s="133">
        <f t="shared" si="21"/>
        <v>300000000</v>
      </c>
      <c r="AQ61" s="12">
        <f t="shared" si="22"/>
        <v>0</v>
      </c>
      <c r="AR61" s="12">
        <f t="shared" si="23"/>
        <v>0</v>
      </c>
      <c r="AS61" s="12">
        <f t="shared" si="24"/>
        <v>0</v>
      </c>
      <c r="AT61" s="200">
        <f t="shared" si="17"/>
        <v>1</v>
      </c>
    </row>
    <row r="62" spans="1:46" s="12" customFormat="1" ht="12.75">
      <c r="A62" s="222" t="s">
        <v>132</v>
      </c>
      <c r="B62" s="29" t="s">
        <v>144</v>
      </c>
      <c r="C62" s="140">
        <v>2214500000</v>
      </c>
      <c r="D62" s="140">
        <v>2204398457</v>
      </c>
      <c r="E62" s="197">
        <v>-396970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396970</v>
      </c>
      <c r="P62" s="141">
        <f t="shared" si="19"/>
        <v>2204398457</v>
      </c>
      <c r="Q62" s="140">
        <v>0</v>
      </c>
      <c r="R62" s="140">
        <v>1119825884</v>
      </c>
      <c r="S62" s="140">
        <v>16866775</v>
      </c>
      <c r="T62" s="140">
        <v>7468500</v>
      </c>
      <c r="U62" s="140">
        <v>0</v>
      </c>
      <c r="V62" s="140">
        <v>0</v>
      </c>
      <c r="W62" s="140">
        <v>1059840328</v>
      </c>
      <c r="X62" s="140">
        <v>0</v>
      </c>
      <c r="Y62" s="140">
        <v>0</v>
      </c>
      <c r="Z62" s="140">
        <v>0</v>
      </c>
      <c r="AA62" s="140">
        <v>0</v>
      </c>
      <c r="AB62" s="140">
        <v>396970</v>
      </c>
      <c r="AC62" s="141">
        <f t="shared" si="20"/>
        <v>2204398457</v>
      </c>
      <c r="AD62" s="140">
        <v>0</v>
      </c>
      <c r="AE62" s="140">
        <v>1119825884</v>
      </c>
      <c r="AF62" s="140">
        <v>15066775</v>
      </c>
      <c r="AG62" s="140">
        <v>9268500</v>
      </c>
      <c r="AH62" s="140">
        <v>0</v>
      </c>
      <c r="AI62" s="140">
        <v>0</v>
      </c>
      <c r="AJ62" s="140">
        <v>1059840328</v>
      </c>
      <c r="AK62" s="140">
        <v>0</v>
      </c>
      <c r="AL62" s="140">
        <v>0</v>
      </c>
      <c r="AM62" s="140">
        <v>0</v>
      </c>
      <c r="AN62" s="140">
        <v>0</v>
      </c>
      <c r="AO62" s="140">
        <v>396970</v>
      </c>
      <c r="AP62" s="133">
        <f t="shared" si="21"/>
        <v>2204398457</v>
      </c>
      <c r="AQ62" s="12">
        <f t="shared" si="22"/>
        <v>10101543</v>
      </c>
      <c r="AR62" s="12">
        <f t="shared" si="23"/>
        <v>0</v>
      </c>
      <c r="AS62" s="12">
        <f t="shared" si="24"/>
        <v>0</v>
      </c>
      <c r="AT62" s="200">
        <f t="shared" si="17"/>
        <v>0.9954384542786182</v>
      </c>
    </row>
    <row r="63" spans="1:46" s="12" customFormat="1" ht="12.75">
      <c r="A63" s="222" t="s">
        <v>140</v>
      </c>
      <c r="B63" s="28" t="s">
        <v>141</v>
      </c>
      <c r="C63" s="131">
        <v>3054000000</v>
      </c>
      <c r="D63" s="131">
        <v>3054000000</v>
      </c>
      <c r="E63" s="197">
        <v>0</v>
      </c>
      <c r="F63" s="131">
        <v>0</v>
      </c>
      <c r="G63" s="140">
        <v>0</v>
      </c>
      <c r="H63" s="140">
        <v>0</v>
      </c>
      <c r="I63" s="140">
        <v>0</v>
      </c>
      <c r="J63" s="140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41">
        <f t="shared" si="19"/>
        <v>3054000000</v>
      </c>
      <c r="Q63" s="140">
        <v>0</v>
      </c>
      <c r="R63" s="131">
        <v>1522050000</v>
      </c>
      <c r="S63" s="131">
        <v>3684327</v>
      </c>
      <c r="T63" s="140">
        <v>6215673</v>
      </c>
      <c r="U63" s="140">
        <v>0</v>
      </c>
      <c r="V63" s="140">
        <v>0</v>
      </c>
      <c r="W63" s="140">
        <v>1522050000</v>
      </c>
      <c r="X63" s="131">
        <v>0</v>
      </c>
      <c r="Y63" s="131">
        <v>0</v>
      </c>
      <c r="Z63" s="131">
        <v>0</v>
      </c>
      <c r="AA63" s="131">
        <v>0</v>
      </c>
      <c r="AB63" s="131">
        <v>0</v>
      </c>
      <c r="AC63" s="141">
        <f t="shared" si="20"/>
        <v>3054000000</v>
      </c>
      <c r="AD63" s="140">
        <v>0</v>
      </c>
      <c r="AE63" s="131">
        <v>1522050000</v>
      </c>
      <c r="AF63" s="131">
        <v>0</v>
      </c>
      <c r="AG63" s="140">
        <v>9900000</v>
      </c>
      <c r="AH63" s="140">
        <v>0</v>
      </c>
      <c r="AI63" s="140">
        <v>0</v>
      </c>
      <c r="AJ63" s="140">
        <v>1522050000</v>
      </c>
      <c r="AK63" s="131">
        <v>0</v>
      </c>
      <c r="AL63" s="131">
        <v>0</v>
      </c>
      <c r="AM63" s="131">
        <v>0</v>
      </c>
      <c r="AN63" s="131">
        <v>0</v>
      </c>
      <c r="AO63" s="131">
        <v>0</v>
      </c>
      <c r="AP63" s="133">
        <f t="shared" si="21"/>
        <v>3054000000</v>
      </c>
      <c r="AQ63" s="12">
        <f t="shared" si="22"/>
        <v>0</v>
      </c>
      <c r="AR63" s="12">
        <f t="shared" si="23"/>
        <v>0</v>
      </c>
      <c r="AS63" s="12">
        <f t="shared" si="24"/>
        <v>0</v>
      </c>
      <c r="AT63" s="200">
        <f t="shared" si="17"/>
        <v>1</v>
      </c>
    </row>
    <row r="64" spans="1:46" s="12" customFormat="1" ht="12.75">
      <c r="A64" s="222" t="s">
        <v>119</v>
      </c>
      <c r="B64" s="28" t="s">
        <v>124</v>
      </c>
      <c r="C64" s="131">
        <v>600000000</v>
      </c>
      <c r="D64" s="131">
        <v>600000000</v>
      </c>
      <c r="E64" s="197">
        <v>0</v>
      </c>
      <c r="F64" s="131">
        <v>0</v>
      </c>
      <c r="G64" s="140">
        <v>0</v>
      </c>
      <c r="H64" s="140">
        <v>0</v>
      </c>
      <c r="I64" s="140">
        <v>0</v>
      </c>
      <c r="J64" s="140">
        <v>0</v>
      </c>
      <c r="K64" s="131">
        <v>0</v>
      </c>
      <c r="L64" s="154">
        <v>0</v>
      </c>
      <c r="M64" s="203">
        <v>0</v>
      </c>
      <c r="N64" s="131">
        <v>0</v>
      </c>
      <c r="O64" s="131">
        <v>0</v>
      </c>
      <c r="P64" s="141">
        <f t="shared" si="19"/>
        <v>600000000</v>
      </c>
      <c r="Q64" s="140">
        <v>0</v>
      </c>
      <c r="R64" s="131">
        <v>299200000</v>
      </c>
      <c r="S64" s="131">
        <v>1600000</v>
      </c>
      <c r="T64" s="140">
        <v>0</v>
      </c>
      <c r="U64" s="140">
        <v>0</v>
      </c>
      <c r="V64" s="140">
        <v>0</v>
      </c>
      <c r="W64" s="140">
        <v>299200000</v>
      </c>
      <c r="X64" s="131">
        <v>0</v>
      </c>
      <c r="Y64" s="131">
        <v>0</v>
      </c>
      <c r="Z64" s="203">
        <v>0</v>
      </c>
      <c r="AA64" s="131">
        <v>0</v>
      </c>
      <c r="AB64" s="131">
        <v>0</v>
      </c>
      <c r="AC64" s="141">
        <f t="shared" si="20"/>
        <v>600000000</v>
      </c>
      <c r="AD64" s="140">
        <v>0</v>
      </c>
      <c r="AE64" s="131">
        <v>299200000</v>
      </c>
      <c r="AF64" s="131">
        <v>0</v>
      </c>
      <c r="AG64" s="140">
        <v>1600000</v>
      </c>
      <c r="AH64" s="140">
        <v>0</v>
      </c>
      <c r="AI64" s="140">
        <v>0</v>
      </c>
      <c r="AJ64" s="140">
        <v>299200000</v>
      </c>
      <c r="AK64" s="131">
        <v>0</v>
      </c>
      <c r="AL64" s="131">
        <v>0</v>
      </c>
      <c r="AM64" s="203">
        <v>0</v>
      </c>
      <c r="AN64" s="131">
        <v>0</v>
      </c>
      <c r="AO64" s="131">
        <v>0</v>
      </c>
      <c r="AP64" s="133">
        <f t="shared" si="21"/>
        <v>600000000</v>
      </c>
      <c r="AQ64" s="12">
        <f t="shared" si="22"/>
        <v>0</v>
      </c>
      <c r="AR64" s="12">
        <f t="shared" si="23"/>
        <v>0</v>
      </c>
      <c r="AS64" s="12">
        <f t="shared" si="24"/>
        <v>0</v>
      </c>
      <c r="AT64" s="200">
        <f t="shared" si="17"/>
        <v>1</v>
      </c>
    </row>
    <row r="65" spans="1:46" s="12" customFormat="1" ht="12.75">
      <c r="A65" s="222" t="s">
        <v>137</v>
      </c>
      <c r="B65" s="28" t="s">
        <v>159</v>
      </c>
      <c r="C65" s="131">
        <v>300000000</v>
      </c>
      <c r="D65" s="131">
        <v>300000000</v>
      </c>
      <c r="E65" s="197">
        <v>0</v>
      </c>
      <c r="F65" s="131">
        <v>0</v>
      </c>
      <c r="G65" s="140">
        <v>0</v>
      </c>
      <c r="H65" s="140">
        <v>0</v>
      </c>
      <c r="I65" s="140">
        <v>0</v>
      </c>
      <c r="J65" s="140">
        <v>0</v>
      </c>
      <c r="K65" s="131">
        <v>0</v>
      </c>
      <c r="L65" s="154">
        <v>0</v>
      </c>
      <c r="M65" s="131">
        <v>0</v>
      </c>
      <c r="N65" s="154">
        <v>0</v>
      </c>
      <c r="O65" s="131">
        <v>0</v>
      </c>
      <c r="P65" s="141">
        <f t="shared" si="19"/>
        <v>300000000</v>
      </c>
      <c r="Q65" s="140">
        <v>0</v>
      </c>
      <c r="R65" s="131">
        <v>150000000</v>
      </c>
      <c r="S65" s="131">
        <v>101481</v>
      </c>
      <c r="T65" s="140">
        <v>0</v>
      </c>
      <c r="U65" s="140">
        <v>0</v>
      </c>
      <c r="V65" s="140">
        <v>0</v>
      </c>
      <c r="W65" s="140">
        <v>0</v>
      </c>
      <c r="X65" s="131">
        <v>0</v>
      </c>
      <c r="Y65" s="131">
        <v>0</v>
      </c>
      <c r="Z65" s="131">
        <v>0</v>
      </c>
      <c r="AA65" s="154">
        <v>149898519</v>
      </c>
      <c r="AB65" s="131">
        <v>0</v>
      </c>
      <c r="AC65" s="141">
        <f t="shared" si="20"/>
        <v>300000000</v>
      </c>
      <c r="AD65" s="140">
        <v>0</v>
      </c>
      <c r="AE65" s="131">
        <v>150000000</v>
      </c>
      <c r="AF65" s="131">
        <v>0</v>
      </c>
      <c r="AG65" s="140">
        <v>101481</v>
      </c>
      <c r="AH65" s="140">
        <v>0</v>
      </c>
      <c r="AI65" s="140">
        <v>0</v>
      </c>
      <c r="AJ65" s="140">
        <v>0</v>
      </c>
      <c r="AK65" s="131">
        <v>0</v>
      </c>
      <c r="AL65" s="131">
        <v>0</v>
      </c>
      <c r="AM65" s="131">
        <v>0</v>
      </c>
      <c r="AN65" s="154">
        <v>149898519</v>
      </c>
      <c r="AO65" s="131">
        <v>0</v>
      </c>
      <c r="AP65" s="133">
        <f t="shared" si="21"/>
        <v>300000000</v>
      </c>
      <c r="AQ65" s="12">
        <f t="shared" si="22"/>
        <v>0</v>
      </c>
      <c r="AR65" s="12">
        <f t="shared" si="23"/>
        <v>0</v>
      </c>
      <c r="AS65" s="12">
        <f t="shared" si="24"/>
        <v>0</v>
      </c>
      <c r="AT65" s="200">
        <f t="shared" si="17"/>
        <v>1</v>
      </c>
    </row>
    <row r="66" spans="1:46" s="12" customFormat="1" ht="12.75">
      <c r="A66" s="222" t="s">
        <v>162</v>
      </c>
      <c r="B66" s="240" t="s">
        <v>163</v>
      </c>
      <c r="C66" s="131">
        <v>300000000</v>
      </c>
      <c r="D66" s="131">
        <v>300000000</v>
      </c>
      <c r="E66" s="197">
        <v>0</v>
      </c>
      <c r="F66" s="131">
        <v>0</v>
      </c>
      <c r="G66" s="140">
        <v>0</v>
      </c>
      <c r="H66" s="140">
        <v>0</v>
      </c>
      <c r="I66" s="140">
        <v>0</v>
      </c>
      <c r="J66" s="140">
        <v>0</v>
      </c>
      <c r="K66" s="131">
        <v>0</v>
      </c>
      <c r="L66" s="154">
        <v>0</v>
      </c>
      <c r="M66" s="131">
        <v>0</v>
      </c>
      <c r="N66" s="154">
        <v>0</v>
      </c>
      <c r="O66" s="131">
        <v>0</v>
      </c>
      <c r="P66" s="141">
        <f t="shared" si="19"/>
        <v>300000000</v>
      </c>
      <c r="Q66" s="140">
        <v>0</v>
      </c>
      <c r="R66" s="131">
        <v>150000000</v>
      </c>
      <c r="S66" s="131">
        <v>0</v>
      </c>
      <c r="T66" s="140">
        <v>0</v>
      </c>
      <c r="U66" s="140">
        <v>0</v>
      </c>
      <c r="V66" s="140">
        <v>0</v>
      </c>
      <c r="W66" s="140">
        <v>0</v>
      </c>
      <c r="X66" s="131">
        <v>0</v>
      </c>
      <c r="Y66" s="131">
        <v>0</v>
      </c>
      <c r="Z66" s="131">
        <v>0</v>
      </c>
      <c r="AA66" s="154">
        <v>150000000</v>
      </c>
      <c r="AB66" s="131">
        <v>0</v>
      </c>
      <c r="AC66" s="141">
        <f t="shared" si="20"/>
        <v>300000000</v>
      </c>
      <c r="AD66" s="140">
        <v>0</v>
      </c>
      <c r="AE66" s="131">
        <v>150000000</v>
      </c>
      <c r="AF66" s="131">
        <v>0</v>
      </c>
      <c r="AG66" s="140">
        <v>0</v>
      </c>
      <c r="AH66" s="140">
        <v>0</v>
      </c>
      <c r="AI66" s="140">
        <v>0</v>
      </c>
      <c r="AJ66" s="140">
        <v>0</v>
      </c>
      <c r="AK66" s="131">
        <v>0</v>
      </c>
      <c r="AL66" s="131">
        <v>0</v>
      </c>
      <c r="AM66" s="131">
        <v>0</v>
      </c>
      <c r="AN66" s="154">
        <v>150000000</v>
      </c>
      <c r="AO66" s="131">
        <v>0</v>
      </c>
      <c r="AP66" s="133">
        <f t="shared" si="21"/>
        <v>300000000</v>
      </c>
      <c r="AQ66" s="12">
        <f t="shared" si="22"/>
        <v>0</v>
      </c>
      <c r="AR66" s="12">
        <f t="shared" si="23"/>
        <v>0</v>
      </c>
      <c r="AS66" s="12">
        <f t="shared" si="24"/>
        <v>0</v>
      </c>
      <c r="AT66" s="200">
        <f t="shared" si="17"/>
        <v>1</v>
      </c>
    </row>
    <row r="67" spans="1:46" s="12" customFormat="1" ht="12.75">
      <c r="A67" s="222" t="s">
        <v>257</v>
      </c>
      <c r="B67" s="240" t="s">
        <v>252</v>
      </c>
      <c r="C67" s="131">
        <v>5000000000</v>
      </c>
      <c r="D67" s="131">
        <v>0</v>
      </c>
      <c r="E67" s="197">
        <v>0</v>
      </c>
      <c r="F67" s="131">
        <v>0</v>
      </c>
      <c r="G67" s="140">
        <v>0</v>
      </c>
      <c r="H67" s="140">
        <v>0</v>
      </c>
      <c r="I67" s="140">
        <v>0</v>
      </c>
      <c r="J67" s="140">
        <v>0</v>
      </c>
      <c r="K67" s="131">
        <v>2500000000</v>
      </c>
      <c r="L67" s="154">
        <v>0</v>
      </c>
      <c r="M67" s="131">
        <v>310000000</v>
      </c>
      <c r="N67" s="154">
        <v>101000000</v>
      </c>
      <c r="O67" s="131">
        <v>2086889101.04</v>
      </c>
      <c r="P67" s="141">
        <f t="shared" si="19"/>
        <v>4997889101.04</v>
      </c>
      <c r="Q67" s="140">
        <v>0</v>
      </c>
      <c r="R67" s="131">
        <v>0</v>
      </c>
      <c r="S67" s="131">
        <v>0</v>
      </c>
      <c r="T67" s="140">
        <v>0</v>
      </c>
      <c r="U67" s="140">
        <v>0</v>
      </c>
      <c r="V67" s="140">
        <v>0</v>
      </c>
      <c r="W67" s="140">
        <v>0</v>
      </c>
      <c r="X67" s="131">
        <v>1790000000</v>
      </c>
      <c r="Y67" s="131">
        <v>0</v>
      </c>
      <c r="Z67" s="131">
        <v>200000000</v>
      </c>
      <c r="AA67" s="154">
        <v>521000000</v>
      </c>
      <c r="AB67" s="131">
        <v>867741326</v>
      </c>
      <c r="AC67" s="141">
        <f t="shared" si="20"/>
        <v>3378741326</v>
      </c>
      <c r="AD67" s="140">
        <v>0</v>
      </c>
      <c r="AE67" s="131">
        <v>0</v>
      </c>
      <c r="AF67" s="131">
        <v>0</v>
      </c>
      <c r="AG67" s="140">
        <v>0</v>
      </c>
      <c r="AH67" s="140">
        <v>0</v>
      </c>
      <c r="AI67" s="140">
        <v>0</v>
      </c>
      <c r="AJ67" s="140">
        <v>0</v>
      </c>
      <c r="AK67" s="131">
        <v>1790000000</v>
      </c>
      <c r="AL67" s="131">
        <v>0</v>
      </c>
      <c r="AM67" s="131">
        <v>200000000</v>
      </c>
      <c r="AN67" s="154">
        <v>510000000</v>
      </c>
      <c r="AO67" s="131">
        <v>488741326</v>
      </c>
      <c r="AP67" s="133">
        <f t="shared" si="21"/>
        <v>2988741326</v>
      </c>
      <c r="AQ67" s="12">
        <f t="shared" si="22"/>
        <v>2110898.960000038</v>
      </c>
      <c r="AR67" s="12">
        <f t="shared" si="23"/>
        <v>1619147775.04</v>
      </c>
      <c r="AS67" s="12">
        <f t="shared" si="24"/>
        <v>390000000</v>
      </c>
      <c r="AT67" s="200"/>
    </row>
    <row r="68" spans="1:46" s="12" customFormat="1" ht="12.75">
      <c r="A68" s="222" t="s">
        <v>120</v>
      </c>
      <c r="B68" s="28" t="s">
        <v>69</v>
      </c>
      <c r="C68" s="131">
        <v>2200000000</v>
      </c>
      <c r="D68" s="131">
        <v>2024051890</v>
      </c>
      <c r="E68" s="197">
        <v>-4583160</v>
      </c>
      <c r="F68" s="154">
        <v>-8227602</v>
      </c>
      <c r="G68" s="140">
        <v>0</v>
      </c>
      <c r="H68" s="140">
        <v>0</v>
      </c>
      <c r="I68" s="140">
        <v>335364</v>
      </c>
      <c r="J68" s="140">
        <v>5936021</v>
      </c>
      <c r="K68" s="131">
        <v>4141410</v>
      </c>
      <c r="L68" s="154">
        <v>68409088</v>
      </c>
      <c r="M68" s="131">
        <v>101402755</v>
      </c>
      <c r="N68" s="131">
        <v>0</v>
      </c>
      <c r="O68" s="131">
        <v>3855367</v>
      </c>
      <c r="P68" s="141">
        <f t="shared" si="19"/>
        <v>2195321133</v>
      </c>
      <c r="Q68" s="140">
        <v>253440</v>
      </c>
      <c r="R68" s="131">
        <v>769353321</v>
      </c>
      <c r="S68" s="131">
        <v>90126450</v>
      </c>
      <c r="T68" s="140">
        <v>83958682</v>
      </c>
      <c r="U68" s="140">
        <v>72612172</v>
      </c>
      <c r="V68" s="140">
        <v>86118199</v>
      </c>
      <c r="W68" s="140">
        <v>772843856</v>
      </c>
      <c r="X68" s="131">
        <v>60604762</v>
      </c>
      <c r="Y68" s="131">
        <v>57767563</v>
      </c>
      <c r="Z68" s="131">
        <v>26170714</v>
      </c>
      <c r="AA68" s="131">
        <v>68444772</v>
      </c>
      <c r="AB68" s="131">
        <v>107067202</v>
      </c>
      <c r="AC68" s="141">
        <f t="shared" si="20"/>
        <v>2195321133</v>
      </c>
      <c r="AD68" s="140">
        <v>0</v>
      </c>
      <c r="AE68" s="131">
        <v>769606761</v>
      </c>
      <c r="AF68" s="131">
        <v>86126450</v>
      </c>
      <c r="AG68" s="140">
        <v>87958682</v>
      </c>
      <c r="AH68" s="140">
        <v>58141861</v>
      </c>
      <c r="AI68" s="140">
        <v>86118199</v>
      </c>
      <c r="AJ68" s="140">
        <v>777813548</v>
      </c>
      <c r="AK68" s="131">
        <v>60604762</v>
      </c>
      <c r="AL68" s="131">
        <v>62517877</v>
      </c>
      <c r="AM68" s="131">
        <v>30921019</v>
      </c>
      <c r="AN68" s="131">
        <v>58944153</v>
      </c>
      <c r="AO68" s="131">
        <v>115460701</v>
      </c>
      <c r="AP68" s="133">
        <f t="shared" si="21"/>
        <v>2194214013</v>
      </c>
      <c r="AQ68" s="12">
        <f t="shared" si="22"/>
        <v>4678867</v>
      </c>
      <c r="AR68" s="12">
        <f t="shared" si="23"/>
        <v>0</v>
      </c>
      <c r="AS68" s="12">
        <f t="shared" si="24"/>
        <v>1107120</v>
      </c>
      <c r="AT68" s="200">
        <f>P68/C68</f>
        <v>0.9978732422727272</v>
      </c>
    </row>
    <row r="69" spans="1:46" s="12" customFormat="1" ht="12.75">
      <c r="A69" s="222" t="s">
        <v>133</v>
      </c>
      <c r="B69" s="28" t="s">
        <v>70</v>
      </c>
      <c r="C69" s="131">
        <v>2872000000</v>
      </c>
      <c r="D69" s="131">
        <v>2851378388</v>
      </c>
      <c r="E69" s="197">
        <v>0</v>
      </c>
      <c r="F69" s="131">
        <v>595400</v>
      </c>
      <c r="G69" s="197">
        <v>-5441602</v>
      </c>
      <c r="H69" s="197">
        <v>-5454440</v>
      </c>
      <c r="I69" s="140">
        <v>14126369</v>
      </c>
      <c r="J69" s="140">
        <v>3442911</v>
      </c>
      <c r="K69" s="244">
        <v>-586322</v>
      </c>
      <c r="L69" s="154">
        <v>1031420</v>
      </c>
      <c r="M69" s="244">
        <v>-3711672</v>
      </c>
      <c r="N69" s="131">
        <v>7570804</v>
      </c>
      <c r="O69" s="131">
        <v>3604491</v>
      </c>
      <c r="P69" s="141">
        <f t="shared" si="19"/>
        <v>2866555747</v>
      </c>
      <c r="Q69" s="140">
        <v>220000</v>
      </c>
      <c r="R69" s="131">
        <v>1243413739</v>
      </c>
      <c r="S69" s="131">
        <v>42100052</v>
      </c>
      <c r="T69" s="140">
        <v>41241232</v>
      </c>
      <c r="U69" s="140">
        <v>41229323</v>
      </c>
      <c r="V69" s="140">
        <v>36234071</v>
      </c>
      <c r="W69" s="140">
        <v>1136133626</v>
      </c>
      <c r="X69" s="131">
        <v>37007250</v>
      </c>
      <c r="Y69" s="131">
        <v>33281569</v>
      </c>
      <c r="Z69" s="244">
        <v>25374205</v>
      </c>
      <c r="AA69" s="131">
        <v>170567429</v>
      </c>
      <c r="AB69" s="131">
        <v>55469163</v>
      </c>
      <c r="AC69" s="141">
        <f t="shared" si="20"/>
        <v>2862271659</v>
      </c>
      <c r="AD69" s="140">
        <v>0</v>
      </c>
      <c r="AE69" s="131">
        <v>1243532363</v>
      </c>
      <c r="AF69" s="131">
        <v>41783428</v>
      </c>
      <c r="AG69" s="140">
        <v>41324232</v>
      </c>
      <c r="AH69" s="140">
        <v>37708421</v>
      </c>
      <c r="AI69" s="140">
        <v>36707007</v>
      </c>
      <c r="AJ69" s="140">
        <v>1135333664</v>
      </c>
      <c r="AK69" s="131">
        <v>37963500</v>
      </c>
      <c r="AL69" s="131">
        <v>31596883</v>
      </c>
      <c r="AM69" s="244">
        <v>30209569</v>
      </c>
      <c r="AN69" s="131">
        <v>166092188</v>
      </c>
      <c r="AO69" s="131">
        <v>60020404</v>
      </c>
      <c r="AP69" s="133">
        <f t="shared" si="21"/>
        <v>2862271659</v>
      </c>
      <c r="AQ69" s="12">
        <f t="shared" si="22"/>
        <v>5444253</v>
      </c>
      <c r="AR69" s="12">
        <f t="shared" si="23"/>
        <v>4284088</v>
      </c>
      <c r="AS69" s="12">
        <f t="shared" si="24"/>
        <v>0</v>
      </c>
      <c r="AT69" s="200">
        <f>P69/C69</f>
        <v>0.9981043687325906</v>
      </c>
    </row>
    <row r="70" spans="1:46" s="12" customFormat="1" ht="12.75">
      <c r="A70" s="222" t="s">
        <v>164</v>
      </c>
      <c r="B70" s="240" t="s">
        <v>165</v>
      </c>
      <c r="C70" s="131">
        <v>7706000000</v>
      </c>
      <c r="D70" s="131">
        <v>7706000000</v>
      </c>
      <c r="E70" s="197">
        <v>0</v>
      </c>
      <c r="F70" s="131">
        <v>0</v>
      </c>
      <c r="G70" s="140">
        <v>0</v>
      </c>
      <c r="H70" s="197">
        <v>0</v>
      </c>
      <c r="I70" s="140">
        <v>0</v>
      </c>
      <c r="J70" s="140">
        <v>0</v>
      </c>
      <c r="K70" s="131">
        <v>0</v>
      </c>
      <c r="L70" s="154">
        <v>0</v>
      </c>
      <c r="M70" s="131">
        <v>0</v>
      </c>
      <c r="N70" s="131">
        <v>0</v>
      </c>
      <c r="O70" s="131">
        <v>0</v>
      </c>
      <c r="P70" s="141">
        <f t="shared" si="19"/>
        <v>7706000000</v>
      </c>
      <c r="Q70" s="140">
        <v>0</v>
      </c>
      <c r="R70" s="131">
        <v>3853000000</v>
      </c>
      <c r="S70" s="131">
        <v>0</v>
      </c>
      <c r="T70" s="140">
        <v>0</v>
      </c>
      <c r="U70" s="140">
        <v>0</v>
      </c>
      <c r="V70" s="140">
        <v>0</v>
      </c>
      <c r="W70" s="140">
        <v>0</v>
      </c>
      <c r="X70" s="131">
        <v>0</v>
      </c>
      <c r="Y70" s="131">
        <v>0</v>
      </c>
      <c r="Z70" s="131">
        <v>0</v>
      </c>
      <c r="AA70" s="131">
        <v>2412058783</v>
      </c>
      <c r="AB70" s="131">
        <v>1440941217</v>
      </c>
      <c r="AC70" s="141">
        <f t="shared" si="20"/>
        <v>7706000000</v>
      </c>
      <c r="AD70" s="140">
        <v>0</v>
      </c>
      <c r="AE70" s="131">
        <v>3853000000</v>
      </c>
      <c r="AF70" s="131">
        <v>0</v>
      </c>
      <c r="AG70" s="140">
        <v>0</v>
      </c>
      <c r="AH70" s="140">
        <v>0</v>
      </c>
      <c r="AI70" s="140">
        <v>0</v>
      </c>
      <c r="AJ70" s="140">
        <v>0</v>
      </c>
      <c r="AK70" s="131">
        <v>0</v>
      </c>
      <c r="AL70" s="131">
        <v>0</v>
      </c>
      <c r="AM70" s="131">
        <v>0</v>
      </c>
      <c r="AN70" s="131">
        <v>2412058783</v>
      </c>
      <c r="AO70" s="131">
        <v>1440941217</v>
      </c>
      <c r="AP70" s="133">
        <f t="shared" si="21"/>
        <v>7706000000</v>
      </c>
      <c r="AQ70" s="12">
        <f t="shared" si="22"/>
        <v>0</v>
      </c>
      <c r="AR70" s="12">
        <f t="shared" si="23"/>
        <v>0</v>
      </c>
      <c r="AS70" s="12">
        <f t="shared" si="24"/>
        <v>0</v>
      </c>
      <c r="AT70" s="200">
        <f>P70/C70</f>
        <v>1</v>
      </c>
    </row>
    <row r="71" spans="1:46" s="12" customFormat="1" ht="12.75">
      <c r="A71" s="222" t="s">
        <v>134</v>
      </c>
      <c r="B71" s="28" t="s">
        <v>135</v>
      </c>
      <c r="C71" s="131">
        <v>3811000000</v>
      </c>
      <c r="D71" s="131">
        <v>3797313176</v>
      </c>
      <c r="E71" s="197">
        <v>0</v>
      </c>
      <c r="F71" s="131">
        <v>0</v>
      </c>
      <c r="G71" s="140">
        <v>0</v>
      </c>
      <c r="H71" s="140">
        <v>0</v>
      </c>
      <c r="I71" s="140">
        <v>2350733</v>
      </c>
      <c r="J71" s="140">
        <v>10083806</v>
      </c>
      <c r="K71" s="131">
        <v>0</v>
      </c>
      <c r="L71" s="154">
        <v>0</v>
      </c>
      <c r="M71" s="131">
        <v>0</v>
      </c>
      <c r="N71" s="131">
        <v>0</v>
      </c>
      <c r="O71" s="143">
        <v>680100</v>
      </c>
      <c r="P71" s="141">
        <f t="shared" si="19"/>
        <v>3810427815</v>
      </c>
      <c r="Q71" s="140">
        <v>0</v>
      </c>
      <c r="R71" s="131">
        <v>1883490356</v>
      </c>
      <c r="S71" s="131">
        <v>335819</v>
      </c>
      <c r="T71" s="140">
        <v>335819</v>
      </c>
      <c r="U71" s="140">
        <v>7672019</v>
      </c>
      <c r="V71" s="140">
        <v>0</v>
      </c>
      <c r="W71" s="140">
        <v>2200719</v>
      </c>
      <c r="X71" s="131">
        <v>21146818</v>
      </c>
      <c r="Y71" s="131">
        <v>4376303</v>
      </c>
      <c r="Z71" s="131">
        <v>17036492</v>
      </c>
      <c r="AA71" s="131">
        <v>816426830</v>
      </c>
      <c r="AB71" s="131">
        <v>1056726540</v>
      </c>
      <c r="AC71" s="141">
        <f t="shared" si="20"/>
        <v>3809747715</v>
      </c>
      <c r="AD71" s="140">
        <v>0</v>
      </c>
      <c r="AE71" s="131">
        <v>1883490356</v>
      </c>
      <c r="AF71" s="131">
        <v>335819</v>
      </c>
      <c r="AG71" s="140">
        <v>335819</v>
      </c>
      <c r="AH71" s="140">
        <v>7672019</v>
      </c>
      <c r="AI71" s="140">
        <v>0</v>
      </c>
      <c r="AJ71" s="140">
        <v>2200719</v>
      </c>
      <c r="AK71" s="131">
        <v>21146818</v>
      </c>
      <c r="AL71" s="131">
        <v>4376303</v>
      </c>
      <c r="AM71" s="131">
        <v>17036492</v>
      </c>
      <c r="AN71" s="131">
        <v>816426830</v>
      </c>
      <c r="AO71" s="131">
        <v>1056726540</v>
      </c>
      <c r="AP71" s="133">
        <f t="shared" si="21"/>
        <v>3809747715</v>
      </c>
      <c r="AQ71" s="12">
        <f t="shared" si="22"/>
        <v>572185</v>
      </c>
      <c r="AR71" s="12">
        <f t="shared" si="23"/>
        <v>680100</v>
      </c>
      <c r="AS71" s="12">
        <f t="shared" si="24"/>
        <v>0</v>
      </c>
      <c r="AT71" s="200">
        <f>P71/C71</f>
        <v>0.9998498596168984</v>
      </c>
    </row>
    <row r="72" spans="1:46" s="12" customFormat="1" ht="12.75">
      <c r="A72" s="222" t="s">
        <v>256</v>
      </c>
      <c r="B72" s="90" t="s">
        <v>253</v>
      </c>
      <c r="C72" s="131">
        <v>540500000</v>
      </c>
      <c r="D72" s="131">
        <v>540500000</v>
      </c>
      <c r="E72" s="197">
        <v>0</v>
      </c>
      <c r="F72" s="146">
        <v>0</v>
      </c>
      <c r="G72" s="140">
        <v>0</v>
      </c>
      <c r="H72" s="134">
        <v>0</v>
      </c>
      <c r="I72" s="140">
        <v>0</v>
      </c>
      <c r="J72" s="140">
        <v>0</v>
      </c>
      <c r="K72" s="131">
        <v>0</v>
      </c>
      <c r="L72" s="154">
        <v>0</v>
      </c>
      <c r="M72" s="131">
        <v>0</v>
      </c>
      <c r="N72" s="131">
        <v>0</v>
      </c>
      <c r="O72" s="208">
        <v>0</v>
      </c>
      <c r="P72" s="141">
        <f t="shared" si="19"/>
        <v>540500000</v>
      </c>
      <c r="Q72" s="140">
        <v>0</v>
      </c>
      <c r="R72" s="131">
        <v>267750000</v>
      </c>
      <c r="S72" s="146">
        <v>5000000</v>
      </c>
      <c r="T72" s="140">
        <v>0</v>
      </c>
      <c r="U72" s="140">
        <v>0</v>
      </c>
      <c r="V72" s="134">
        <v>0</v>
      </c>
      <c r="W72" s="140">
        <v>0</v>
      </c>
      <c r="X72" s="131">
        <v>0</v>
      </c>
      <c r="Y72" s="131">
        <v>0</v>
      </c>
      <c r="Z72" s="131">
        <v>0</v>
      </c>
      <c r="AA72" s="131">
        <v>267750000</v>
      </c>
      <c r="AB72" s="131">
        <v>0</v>
      </c>
      <c r="AC72" s="141">
        <f t="shared" si="20"/>
        <v>540500000</v>
      </c>
      <c r="AD72" s="140">
        <v>0</v>
      </c>
      <c r="AE72" s="131">
        <v>267750000</v>
      </c>
      <c r="AF72" s="146">
        <v>0</v>
      </c>
      <c r="AG72" s="140">
        <v>5000000</v>
      </c>
      <c r="AH72" s="140">
        <v>0</v>
      </c>
      <c r="AI72" s="134">
        <v>0</v>
      </c>
      <c r="AJ72" s="140">
        <v>0</v>
      </c>
      <c r="AK72" s="131">
        <v>0</v>
      </c>
      <c r="AL72" s="131">
        <v>0</v>
      </c>
      <c r="AM72" s="131">
        <v>0</v>
      </c>
      <c r="AN72" s="131">
        <v>267750000</v>
      </c>
      <c r="AO72" s="131">
        <v>0</v>
      </c>
      <c r="AP72" s="133">
        <f t="shared" si="21"/>
        <v>540500000</v>
      </c>
      <c r="AQ72" s="12">
        <f t="shared" si="22"/>
        <v>0</v>
      </c>
      <c r="AR72" s="12">
        <f t="shared" si="23"/>
        <v>0</v>
      </c>
      <c r="AS72" s="12">
        <f t="shared" si="24"/>
        <v>0</v>
      </c>
      <c r="AT72" s="200"/>
    </row>
    <row r="73" spans="1:46" s="12" customFormat="1" ht="12.75">
      <c r="A73" s="225" t="s">
        <v>145</v>
      </c>
      <c r="B73" s="90" t="s">
        <v>146</v>
      </c>
      <c r="C73" s="131">
        <v>618000000</v>
      </c>
      <c r="D73" s="131">
        <v>618000000</v>
      </c>
      <c r="E73" s="197">
        <v>0</v>
      </c>
      <c r="F73" s="154">
        <v>0</v>
      </c>
      <c r="G73" s="140">
        <v>0</v>
      </c>
      <c r="H73" s="134">
        <v>0</v>
      </c>
      <c r="I73" s="140">
        <v>0</v>
      </c>
      <c r="J73" s="140">
        <v>0</v>
      </c>
      <c r="K73" s="131">
        <v>0</v>
      </c>
      <c r="L73" s="131">
        <v>0</v>
      </c>
      <c r="M73" s="131">
        <v>0</v>
      </c>
      <c r="N73" s="131">
        <v>0</v>
      </c>
      <c r="O73" s="146">
        <v>0</v>
      </c>
      <c r="P73" s="141">
        <f t="shared" si="19"/>
        <v>618000000</v>
      </c>
      <c r="Q73" s="140">
        <v>0</v>
      </c>
      <c r="R73" s="131">
        <v>309000000</v>
      </c>
      <c r="S73" s="131">
        <v>0</v>
      </c>
      <c r="T73" s="140">
        <v>0</v>
      </c>
      <c r="U73" s="140">
        <v>0</v>
      </c>
      <c r="V73" s="134">
        <v>0</v>
      </c>
      <c r="W73" s="140">
        <v>0</v>
      </c>
      <c r="X73" s="132">
        <v>0</v>
      </c>
      <c r="Y73" s="131">
        <v>0</v>
      </c>
      <c r="Z73" s="131">
        <v>0</v>
      </c>
      <c r="AA73" s="131">
        <v>309000000</v>
      </c>
      <c r="AB73" s="131">
        <v>0</v>
      </c>
      <c r="AC73" s="141">
        <f t="shared" si="20"/>
        <v>618000000</v>
      </c>
      <c r="AD73" s="140">
        <v>0</v>
      </c>
      <c r="AE73" s="131">
        <v>309000000</v>
      </c>
      <c r="AF73" s="131">
        <v>0</v>
      </c>
      <c r="AG73" s="140">
        <v>0</v>
      </c>
      <c r="AH73" s="140">
        <v>0</v>
      </c>
      <c r="AI73" s="134">
        <v>0</v>
      </c>
      <c r="AJ73" s="140">
        <v>0</v>
      </c>
      <c r="AK73" s="132">
        <v>0</v>
      </c>
      <c r="AL73" s="131">
        <v>0</v>
      </c>
      <c r="AM73" s="131">
        <v>0</v>
      </c>
      <c r="AN73" s="131">
        <v>309000000</v>
      </c>
      <c r="AO73" s="131">
        <v>0</v>
      </c>
      <c r="AP73" s="133">
        <f t="shared" si="21"/>
        <v>618000000</v>
      </c>
      <c r="AQ73" s="12">
        <f t="shared" si="22"/>
        <v>0</v>
      </c>
      <c r="AR73" s="12">
        <f t="shared" si="23"/>
        <v>0</v>
      </c>
      <c r="AS73" s="12">
        <f t="shared" si="24"/>
        <v>0</v>
      </c>
      <c r="AT73" s="200">
        <f aca="true" t="shared" si="25" ref="AT73:AT78">P73/C73</f>
        <v>1</v>
      </c>
    </row>
    <row r="74" spans="1:46" s="12" customFormat="1" ht="12.75">
      <c r="A74" s="224" t="s">
        <v>121</v>
      </c>
      <c r="B74" s="90" t="s">
        <v>122</v>
      </c>
      <c r="C74" s="131">
        <v>500000000</v>
      </c>
      <c r="D74" s="131">
        <v>500000000</v>
      </c>
      <c r="E74" s="197">
        <v>0</v>
      </c>
      <c r="F74" s="154">
        <v>0</v>
      </c>
      <c r="G74" s="140">
        <v>0</v>
      </c>
      <c r="H74" s="140">
        <v>0</v>
      </c>
      <c r="I74" s="140">
        <v>0</v>
      </c>
      <c r="J74" s="140">
        <v>0</v>
      </c>
      <c r="K74" s="131">
        <v>0</v>
      </c>
      <c r="L74" s="131">
        <v>0</v>
      </c>
      <c r="M74" s="131">
        <v>0</v>
      </c>
      <c r="N74" s="131">
        <v>0</v>
      </c>
      <c r="O74" s="146">
        <v>0</v>
      </c>
      <c r="P74" s="141">
        <f t="shared" si="19"/>
        <v>500000000</v>
      </c>
      <c r="Q74" s="140">
        <v>0</v>
      </c>
      <c r="R74" s="131">
        <v>250000000</v>
      </c>
      <c r="S74" s="154">
        <v>0</v>
      </c>
      <c r="T74" s="140">
        <v>0</v>
      </c>
      <c r="U74" s="140">
        <v>0</v>
      </c>
      <c r="V74" s="189">
        <v>0</v>
      </c>
      <c r="W74" s="140">
        <v>0</v>
      </c>
      <c r="X74" s="132">
        <v>0</v>
      </c>
      <c r="Y74" s="132">
        <v>0</v>
      </c>
      <c r="Z74" s="131">
        <v>0</v>
      </c>
      <c r="AA74" s="131">
        <v>250000000</v>
      </c>
      <c r="AB74" s="131">
        <v>0</v>
      </c>
      <c r="AC74" s="141">
        <f t="shared" si="20"/>
        <v>500000000</v>
      </c>
      <c r="AD74" s="140">
        <v>0</v>
      </c>
      <c r="AE74" s="131">
        <v>250000000</v>
      </c>
      <c r="AF74" s="131">
        <v>0</v>
      </c>
      <c r="AG74" s="140">
        <v>0</v>
      </c>
      <c r="AH74" s="140">
        <v>0</v>
      </c>
      <c r="AI74" s="189">
        <v>0</v>
      </c>
      <c r="AJ74" s="140">
        <v>0</v>
      </c>
      <c r="AK74" s="132">
        <v>0</v>
      </c>
      <c r="AL74" s="132">
        <v>0</v>
      </c>
      <c r="AM74" s="131">
        <v>0</v>
      </c>
      <c r="AN74" s="131">
        <v>250000000</v>
      </c>
      <c r="AO74" s="131">
        <v>0</v>
      </c>
      <c r="AP74" s="133">
        <f t="shared" si="21"/>
        <v>500000000</v>
      </c>
      <c r="AQ74" s="12">
        <f t="shared" si="22"/>
        <v>0</v>
      </c>
      <c r="AR74" s="12">
        <f t="shared" si="23"/>
        <v>0</v>
      </c>
      <c r="AS74" s="12">
        <f t="shared" si="24"/>
        <v>0</v>
      </c>
      <c r="AT74" s="200">
        <f t="shared" si="25"/>
        <v>1</v>
      </c>
    </row>
    <row r="75" spans="1:46" s="12" customFormat="1" ht="15" customHeight="1">
      <c r="A75" s="224" t="s">
        <v>123</v>
      </c>
      <c r="B75" s="28" t="s">
        <v>147</v>
      </c>
      <c r="C75" s="131">
        <v>500000000</v>
      </c>
      <c r="D75" s="131">
        <v>493600000</v>
      </c>
      <c r="E75" s="197">
        <v>1798815</v>
      </c>
      <c r="F75" s="154">
        <v>-771000</v>
      </c>
      <c r="G75" s="140">
        <v>0</v>
      </c>
      <c r="H75" s="140">
        <v>0</v>
      </c>
      <c r="I75" s="140">
        <v>0</v>
      </c>
      <c r="J75" s="140">
        <v>179690</v>
      </c>
      <c r="K75" s="131">
        <v>346790</v>
      </c>
      <c r="L75" s="131">
        <v>205430</v>
      </c>
      <c r="M75" s="131">
        <v>0</v>
      </c>
      <c r="N75" s="131">
        <v>519983</v>
      </c>
      <c r="O75" s="187">
        <v>1154620</v>
      </c>
      <c r="P75" s="141">
        <f t="shared" si="19"/>
        <v>497034328</v>
      </c>
      <c r="Q75" s="140">
        <v>0</v>
      </c>
      <c r="R75" s="131">
        <v>76839991</v>
      </c>
      <c r="S75" s="154">
        <v>-771000</v>
      </c>
      <c r="T75" s="140">
        <v>0</v>
      </c>
      <c r="U75" s="140">
        <v>4990813</v>
      </c>
      <c r="V75" s="189">
        <v>0</v>
      </c>
      <c r="W75" s="140">
        <v>179690</v>
      </c>
      <c r="X75" s="132">
        <v>9655990</v>
      </c>
      <c r="Y75" s="132">
        <v>205430</v>
      </c>
      <c r="Z75" s="131">
        <v>0</v>
      </c>
      <c r="AA75" s="131">
        <v>404358991</v>
      </c>
      <c r="AB75" s="131">
        <v>1574423</v>
      </c>
      <c r="AC75" s="141">
        <f t="shared" si="20"/>
        <v>497034328</v>
      </c>
      <c r="AD75" s="140">
        <v>0</v>
      </c>
      <c r="AE75" s="131">
        <v>75041176</v>
      </c>
      <c r="AF75" s="131">
        <v>1027815</v>
      </c>
      <c r="AG75" s="140">
        <v>0</v>
      </c>
      <c r="AH75" s="140">
        <v>4990813</v>
      </c>
      <c r="AI75" s="189">
        <v>0</v>
      </c>
      <c r="AJ75" s="140">
        <v>179690</v>
      </c>
      <c r="AK75" s="132">
        <v>9655990</v>
      </c>
      <c r="AL75" s="132">
        <v>205430</v>
      </c>
      <c r="AM75" s="131">
        <v>0</v>
      </c>
      <c r="AN75" s="131">
        <v>404258811</v>
      </c>
      <c r="AO75" s="131">
        <v>1674603</v>
      </c>
      <c r="AP75" s="133">
        <f t="shared" si="21"/>
        <v>497034328</v>
      </c>
      <c r="AQ75" s="12">
        <f t="shared" si="22"/>
        <v>2965672</v>
      </c>
      <c r="AR75" s="12">
        <f t="shared" si="23"/>
        <v>0</v>
      </c>
      <c r="AS75" s="12">
        <f t="shared" si="24"/>
        <v>0</v>
      </c>
      <c r="AT75" s="200">
        <f t="shared" si="25"/>
        <v>0.994068656</v>
      </c>
    </row>
    <row r="76" spans="1:46" s="12" customFormat="1" ht="15" customHeight="1">
      <c r="A76" s="224" t="s">
        <v>174</v>
      </c>
      <c r="B76" s="241" t="s">
        <v>168</v>
      </c>
      <c r="C76" s="131">
        <v>515000000</v>
      </c>
      <c r="D76" s="131">
        <v>515000000</v>
      </c>
      <c r="E76" s="197">
        <v>0</v>
      </c>
      <c r="F76" s="154">
        <v>0</v>
      </c>
      <c r="G76" s="140">
        <v>0</v>
      </c>
      <c r="H76" s="140">
        <v>0</v>
      </c>
      <c r="I76" s="140">
        <v>0</v>
      </c>
      <c r="J76" s="140">
        <v>0</v>
      </c>
      <c r="K76" s="131">
        <v>0</v>
      </c>
      <c r="L76" s="154">
        <v>0</v>
      </c>
      <c r="M76" s="131">
        <v>0</v>
      </c>
      <c r="N76" s="131">
        <v>0</v>
      </c>
      <c r="O76" s="131">
        <v>0</v>
      </c>
      <c r="P76" s="141">
        <f t="shared" si="19"/>
        <v>515000000</v>
      </c>
      <c r="Q76" s="140">
        <v>0</v>
      </c>
      <c r="R76" s="141">
        <v>0</v>
      </c>
      <c r="S76" s="154">
        <v>0</v>
      </c>
      <c r="T76" s="140">
        <v>0</v>
      </c>
      <c r="U76" s="140">
        <v>0</v>
      </c>
      <c r="V76" s="134">
        <v>0</v>
      </c>
      <c r="W76" s="140">
        <v>0</v>
      </c>
      <c r="X76" s="132">
        <v>0</v>
      </c>
      <c r="Y76" s="154">
        <v>0</v>
      </c>
      <c r="Z76" s="131">
        <v>0</v>
      </c>
      <c r="AA76" s="131">
        <v>515000000</v>
      </c>
      <c r="AB76" s="131">
        <v>0</v>
      </c>
      <c r="AC76" s="141">
        <f t="shared" si="20"/>
        <v>515000000</v>
      </c>
      <c r="AD76" s="140">
        <v>0</v>
      </c>
      <c r="AE76" s="141">
        <v>0</v>
      </c>
      <c r="AF76" s="131">
        <v>0</v>
      </c>
      <c r="AG76" s="134">
        <v>0</v>
      </c>
      <c r="AH76" s="140">
        <v>0</v>
      </c>
      <c r="AI76" s="134">
        <v>0</v>
      </c>
      <c r="AJ76" s="140">
        <v>0</v>
      </c>
      <c r="AK76" s="132">
        <v>0</v>
      </c>
      <c r="AL76" s="154">
        <v>0</v>
      </c>
      <c r="AM76" s="131">
        <v>0</v>
      </c>
      <c r="AN76" s="131">
        <v>515000000</v>
      </c>
      <c r="AO76" s="131">
        <v>0</v>
      </c>
      <c r="AP76" s="133">
        <f t="shared" si="21"/>
        <v>515000000</v>
      </c>
      <c r="AQ76" s="12">
        <f t="shared" si="22"/>
        <v>0</v>
      </c>
      <c r="AR76" s="12">
        <f t="shared" si="23"/>
        <v>0</v>
      </c>
      <c r="AS76" s="12">
        <f t="shared" si="24"/>
        <v>0</v>
      </c>
      <c r="AT76" s="200">
        <f t="shared" si="25"/>
        <v>1</v>
      </c>
    </row>
    <row r="77" spans="1:46" s="12" customFormat="1" ht="15" customHeight="1" thickBot="1">
      <c r="A77" s="224" t="s">
        <v>255</v>
      </c>
      <c r="B77" s="29" t="s">
        <v>254</v>
      </c>
      <c r="C77" s="134">
        <v>300000000</v>
      </c>
      <c r="D77" s="134">
        <v>0</v>
      </c>
      <c r="E77" s="134">
        <v>0</v>
      </c>
      <c r="F77" s="154">
        <v>0</v>
      </c>
      <c r="G77" s="134">
        <v>0</v>
      </c>
      <c r="H77" s="134">
        <v>300000000</v>
      </c>
      <c r="I77" s="134">
        <v>0</v>
      </c>
      <c r="J77" s="134">
        <v>0</v>
      </c>
      <c r="K77" s="134">
        <v>0</v>
      </c>
      <c r="L77" s="154">
        <v>0</v>
      </c>
      <c r="M77" s="245">
        <v>-1734454</v>
      </c>
      <c r="N77" s="134">
        <v>0</v>
      </c>
      <c r="O77" s="186">
        <v>0</v>
      </c>
      <c r="P77" s="141">
        <f t="shared" si="19"/>
        <v>298265546</v>
      </c>
      <c r="Q77" s="140">
        <v>0</v>
      </c>
      <c r="R77" s="141">
        <v>0</v>
      </c>
      <c r="S77" s="134">
        <v>0</v>
      </c>
      <c r="T77" s="134">
        <v>0</v>
      </c>
      <c r="U77" s="134">
        <v>300000000</v>
      </c>
      <c r="V77" s="134">
        <v>0</v>
      </c>
      <c r="W77" s="134">
        <v>0</v>
      </c>
      <c r="X77" s="135">
        <v>0</v>
      </c>
      <c r="Y77" s="154">
        <v>0</v>
      </c>
      <c r="Z77" s="245">
        <v>-1734454</v>
      </c>
      <c r="AA77" s="134">
        <v>0</v>
      </c>
      <c r="AB77" s="131">
        <v>0</v>
      </c>
      <c r="AC77" s="132">
        <f t="shared" si="20"/>
        <v>298265546</v>
      </c>
      <c r="AD77" s="140">
        <v>0</v>
      </c>
      <c r="AE77" s="141">
        <v>0</v>
      </c>
      <c r="AF77" s="134">
        <v>0</v>
      </c>
      <c r="AG77" s="134">
        <v>0</v>
      </c>
      <c r="AH77" s="134">
        <v>300000000</v>
      </c>
      <c r="AI77" s="134">
        <v>0</v>
      </c>
      <c r="AJ77" s="134">
        <v>0</v>
      </c>
      <c r="AK77" s="135">
        <v>0</v>
      </c>
      <c r="AL77" s="154">
        <v>0</v>
      </c>
      <c r="AM77" s="245">
        <v>-1734454</v>
      </c>
      <c r="AN77" s="134">
        <v>0</v>
      </c>
      <c r="AO77" s="131">
        <v>0</v>
      </c>
      <c r="AP77" s="133">
        <f t="shared" si="21"/>
        <v>298265546</v>
      </c>
      <c r="AQ77" s="12">
        <f t="shared" si="22"/>
        <v>1734454</v>
      </c>
      <c r="AR77" s="12">
        <f t="shared" si="23"/>
        <v>0</v>
      </c>
      <c r="AS77" s="12">
        <f t="shared" si="24"/>
        <v>0</v>
      </c>
      <c r="AT77" s="200">
        <f t="shared" si="25"/>
        <v>0.9942184866666667</v>
      </c>
    </row>
    <row r="78" spans="1:46" s="13" customFormat="1" ht="13.5" thickBot="1">
      <c r="A78" s="275" t="s">
        <v>50</v>
      </c>
      <c r="B78" s="276"/>
      <c r="C78" s="137">
        <f aca="true" t="shared" si="26" ref="C78:AS78">SUM(C14+C42+C54+C57)</f>
        <v>56729467719</v>
      </c>
      <c r="D78" s="137">
        <f t="shared" si="26"/>
        <v>34752757078</v>
      </c>
      <c r="E78" s="137">
        <f t="shared" si="26"/>
        <v>1151507094</v>
      </c>
      <c r="F78" s="137">
        <f t="shared" si="26"/>
        <v>1323040852</v>
      </c>
      <c r="G78" s="137">
        <f t="shared" si="26"/>
        <v>1153114178</v>
      </c>
      <c r="H78" s="137">
        <f t="shared" si="26"/>
        <v>1463762566</v>
      </c>
      <c r="I78" s="137">
        <f t="shared" si="26"/>
        <v>1835847663.1100001</v>
      </c>
      <c r="J78" s="137">
        <f t="shared" si="26"/>
        <v>1529076106</v>
      </c>
      <c r="K78" s="137">
        <f t="shared" si="26"/>
        <v>3979094463</v>
      </c>
      <c r="L78" s="137">
        <f t="shared" si="26"/>
        <v>1219593934</v>
      </c>
      <c r="M78" s="137">
        <f t="shared" si="26"/>
        <v>1687015245</v>
      </c>
      <c r="N78" s="137">
        <f t="shared" si="26"/>
        <v>1442121396</v>
      </c>
      <c r="O78" s="137">
        <f t="shared" si="26"/>
        <v>4927369739.93</v>
      </c>
      <c r="P78" s="137">
        <f t="shared" si="26"/>
        <v>56464300315.04</v>
      </c>
      <c r="Q78" s="137">
        <f t="shared" si="26"/>
        <v>722659641</v>
      </c>
      <c r="R78" s="137">
        <f t="shared" si="26"/>
        <v>13808833339</v>
      </c>
      <c r="S78" s="137">
        <f t="shared" si="26"/>
        <v>8040584148</v>
      </c>
      <c r="T78" s="137">
        <f t="shared" si="26"/>
        <v>1781151569</v>
      </c>
      <c r="U78" s="137">
        <f t="shared" si="26"/>
        <v>1635695910</v>
      </c>
      <c r="V78" s="137">
        <f t="shared" si="26"/>
        <v>1581877026</v>
      </c>
      <c r="W78" s="137">
        <f t="shared" si="26"/>
        <v>6729866964</v>
      </c>
      <c r="X78" s="137">
        <f t="shared" si="26"/>
        <v>3438195499</v>
      </c>
      <c r="Y78" s="137">
        <f t="shared" si="26"/>
        <v>1349189491</v>
      </c>
      <c r="Z78" s="137">
        <f t="shared" si="26"/>
        <v>1635774698</v>
      </c>
      <c r="AA78" s="137">
        <f t="shared" si="26"/>
        <v>7209445575</v>
      </c>
      <c r="AB78" s="137">
        <f t="shared" si="26"/>
        <v>6710081218</v>
      </c>
      <c r="AC78" s="137">
        <f t="shared" si="26"/>
        <v>54643355078</v>
      </c>
      <c r="AD78" s="137">
        <f t="shared" si="26"/>
        <v>717906201</v>
      </c>
      <c r="AE78" s="137">
        <f t="shared" si="26"/>
        <v>13806394422</v>
      </c>
      <c r="AF78" s="137">
        <f t="shared" si="26"/>
        <v>8017855716</v>
      </c>
      <c r="AG78" s="137">
        <f t="shared" si="26"/>
        <v>1787654233</v>
      </c>
      <c r="AH78" s="137">
        <f t="shared" si="26"/>
        <v>1631580128</v>
      </c>
      <c r="AI78" s="137">
        <f t="shared" si="26"/>
        <v>1558997507</v>
      </c>
      <c r="AJ78" s="137">
        <f t="shared" si="26"/>
        <v>6692706595</v>
      </c>
      <c r="AK78" s="137">
        <f t="shared" si="26"/>
        <v>3457753965</v>
      </c>
      <c r="AL78" s="137">
        <f t="shared" si="26"/>
        <v>1355644016</v>
      </c>
      <c r="AM78" s="137">
        <f t="shared" si="26"/>
        <v>1690241972</v>
      </c>
      <c r="AN78" s="137">
        <f t="shared" si="26"/>
        <v>7158288062</v>
      </c>
      <c r="AO78" s="137">
        <f t="shared" si="26"/>
        <v>6351550699</v>
      </c>
      <c r="AP78" s="125">
        <f t="shared" si="26"/>
        <v>54226573516</v>
      </c>
      <c r="AQ78" s="156">
        <f t="shared" si="26"/>
        <v>265167403.96000004</v>
      </c>
      <c r="AR78" s="156">
        <f t="shared" si="26"/>
        <v>1820945237.04</v>
      </c>
      <c r="AS78" s="156">
        <f t="shared" si="26"/>
        <v>416781562</v>
      </c>
      <c r="AT78" s="200">
        <f t="shared" si="25"/>
        <v>0.9953257554737961</v>
      </c>
    </row>
    <row r="79" spans="1:42" ht="12.75">
      <c r="A79" s="191" t="s">
        <v>278</v>
      </c>
      <c r="B79" s="215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216"/>
    </row>
    <row r="80" spans="1:42" ht="12.75">
      <c r="A80" s="204" t="s">
        <v>298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217"/>
    </row>
    <row r="81" spans="1:42" ht="12.75">
      <c r="A81" s="204" t="s">
        <v>299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217"/>
    </row>
    <row r="82" spans="1:42" ht="12.75">
      <c r="A82" s="204" t="s">
        <v>300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217"/>
    </row>
    <row r="83" spans="1:42" ht="12.75">
      <c r="A83" s="204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217"/>
    </row>
    <row r="84" spans="1:42" ht="12.75">
      <c r="A84" s="204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217"/>
    </row>
    <row r="85" spans="1:42" ht="12.75">
      <c r="A85" s="204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217"/>
    </row>
    <row r="86" spans="1:42" ht="12.75">
      <c r="A86" s="204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217"/>
    </row>
    <row r="87" spans="1:42" ht="13.5" thickBot="1">
      <c r="A87" s="204"/>
      <c r="B87" s="218"/>
      <c r="C87" s="3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18"/>
      <c r="AL87" s="160"/>
      <c r="AM87" s="160"/>
      <c r="AN87" s="160"/>
      <c r="AO87" s="160"/>
      <c r="AP87" s="217"/>
    </row>
    <row r="88" spans="1:42" ht="15" customHeight="1">
      <c r="A88" s="204"/>
      <c r="B88" s="219" t="s">
        <v>175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274" t="s">
        <v>136</v>
      </c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160"/>
      <c r="AM88" s="160"/>
      <c r="AN88" s="160"/>
      <c r="AO88" s="160"/>
      <c r="AP88" s="217"/>
    </row>
    <row r="89" spans="1:42" ht="0.75" customHeight="1" thickBot="1">
      <c r="A89" s="9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9"/>
    </row>
  </sheetData>
  <mergeCells count="10">
    <mergeCell ref="X88:AK88"/>
    <mergeCell ref="A6:B6"/>
    <mergeCell ref="A7:B7"/>
    <mergeCell ref="A78:B78"/>
    <mergeCell ref="X87:AJ87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5"/>
  <sheetViews>
    <sheetView zoomScale="75" zoomScaleNormal="75" workbookViewId="0" topLeftCell="C10">
      <pane ySplit="1005" topLeftCell="BM1" activePane="bottomLeft" state="split"/>
      <selection pane="topLeft" activeCell="AA10" sqref="AA1:AA16384"/>
      <selection pane="bottomLeft" activeCell="C26" sqref="C26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customWidth="1"/>
    <col min="29" max="29" width="20.28125" style="1" customWidth="1"/>
    <col min="30" max="30" width="20.00390625" style="1" customWidth="1"/>
    <col min="31" max="16384" width="11.421875" style="1" customWidth="1"/>
  </cols>
  <sheetData>
    <row r="1" spans="1:29" s="109" customFormat="1" ht="15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9"/>
    </row>
    <row r="2" spans="1:29" s="109" customFormat="1" ht="15">
      <c r="A2" s="284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6"/>
    </row>
    <row r="3" spans="1:29" s="109" customFormat="1" ht="15">
      <c r="A3" s="284" t="s">
        <v>51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6"/>
    </row>
    <row r="4" spans="1:29" s="109" customFormat="1" ht="15">
      <c r="A4" s="284" t="s">
        <v>53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6"/>
    </row>
    <row r="5" spans="1:29" s="109" customFormat="1" ht="15">
      <c r="A5" s="284" t="s">
        <v>58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6"/>
    </row>
    <row r="6" spans="1:29" s="109" customFormat="1" ht="14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</row>
    <row r="7" spans="1:29" s="109" customFormat="1" ht="15">
      <c r="A7" s="279" t="s">
        <v>4</v>
      </c>
      <c r="B7" s="280"/>
      <c r="C7" s="114" t="s">
        <v>59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5" t="s">
        <v>8</v>
      </c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6" t="s">
        <v>288</v>
      </c>
    </row>
    <row r="8" spans="1:29" s="109" customFormat="1" ht="15" customHeight="1" thickBot="1">
      <c r="A8" s="279" t="s">
        <v>5</v>
      </c>
      <c r="B8" s="280"/>
      <c r="C8" s="110" t="s">
        <v>57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5" t="s">
        <v>9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7">
        <v>2006</v>
      </c>
    </row>
    <row r="9" spans="1:29" s="109" customFormat="1" ht="15" hidden="1" thickBo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</row>
    <row r="10" spans="1:29" s="109" customFormat="1" ht="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</row>
    <row r="11" spans="1:29" s="109" customFormat="1" ht="15">
      <c r="A11" s="174" t="s">
        <v>40</v>
      </c>
      <c r="B11" s="174" t="s">
        <v>42</v>
      </c>
      <c r="C11" s="174" t="s">
        <v>43</v>
      </c>
      <c r="D11" s="174" t="s">
        <v>45</v>
      </c>
      <c r="E11" s="174" t="s">
        <v>45</v>
      </c>
      <c r="F11" s="174" t="s">
        <v>45</v>
      </c>
      <c r="G11" s="174" t="s">
        <v>45</v>
      </c>
      <c r="H11" s="174" t="s">
        <v>45</v>
      </c>
      <c r="I11" s="174" t="s">
        <v>45</v>
      </c>
      <c r="J11" s="174" t="s">
        <v>45</v>
      </c>
      <c r="K11" s="174" t="s">
        <v>45</v>
      </c>
      <c r="L11" s="174" t="s">
        <v>45</v>
      </c>
      <c r="M11" s="174" t="s">
        <v>45</v>
      </c>
      <c r="N11" s="174" t="s">
        <v>45</v>
      </c>
      <c r="O11" s="174" t="s">
        <v>45</v>
      </c>
      <c r="P11" s="174" t="s">
        <v>45</v>
      </c>
      <c r="Q11" s="174" t="s">
        <v>46</v>
      </c>
      <c r="R11" s="174" t="s">
        <v>46</v>
      </c>
      <c r="S11" s="174" t="s">
        <v>46</v>
      </c>
      <c r="T11" s="174" t="s">
        <v>46</v>
      </c>
      <c r="U11" s="174" t="s">
        <v>46</v>
      </c>
      <c r="V11" s="174" t="s">
        <v>46</v>
      </c>
      <c r="W11" s="174" t="s">
        <v>46</v>
      </c>
      <c r="X11" s="174" t="s">
        <v>46</v>
      </c>
      <c r="Y11" s="174" t="s">
        <v>46</v>
      </c>
      <c r="Z11" s="174" t="s">
        <v>46</v>
      </c>
      <c r="AA11" s="174" t="s">
        <v>46</v>
      </c>
      <c r="AB11" s="174" t="s">
        <v>46</v>
      </c>
      <c r="AC11" s="174" t="s">
        <v>46</v>
      </c>
    </row>
    <row r="12" spans="1:29" s="109" customFormat="1" ht="15.75" thickBot="1">
      <c r="A12" s="175" t="s">
        <v>41</v>
      </c>
      <c r="B12" s="175"/>
      <c r="C12" s="175" t="s">
        <v>12</v>
      </c>
      <c r="D12" s="175" t="s">
        <v>13</v>
      </c>
      <c r="E12" s="175" t="s">
        <v>14</v>
      </c>
      <c r="F12" s="175" t="s">
        <v>15</v>
      </c>
      <c r="G12" s="175" t="s">
        <v>16</v>
      </c>
      <c r="H12" s="175" t="s">
        <v>28</v>
      </c>
      <c r="I12" s="175" t="s">
        <v>29</v>
      </c>
      <c r="J12" s="175" t="s">
        <v>30</v>
      </c>
      <c r="K12" s="175" t="s">
        <v>20</v>
      </c>
      <c r="L12" s="175" t="s">
        <v>21</v>
      </c>
      <c r="M12" s="175" t="s">
        <v>31</v>
      </c>
      <c r="N12" s="175" t="s">
        <v>23</v>
      </c>
      <c r="O12" s="175" t="s">
        <v>24</v>
      </c>
      <c r="P12" s="175" t="s">
        <v>47</v>
      </c>
      <c r="Q12" s="175" t="s">
        <v>13</v>
      </c>
      <c r="R12" s="175" t="s">
        <v>14</v>
      </c>
      <c r="S12" s="175" t="s">
        <v>15</v>
      </c>
      <c r="T12" s="175" t="s">
        <v>16</v>
      </c>
      <c r="U12" s="175" t="s">
        <v>28</v>
      </c>
      <c r="V12" s="175" t="s">
        <v>29</v>
      </c>
      <c r="W12" s="175" t="s">
        <v>30</v>
      </c>
      <c r="X12" s="175" t="s">
        <v>20</v>
      </c>
      <c r="Y12" s="175" t="s">
        <v>21</v>
      </c>
      <c r="Z12" s="175" t="s">
        <v>31</v>
      </c>
      <c r="AA12" s="175" t="s">
        <v>23</v>
      </c>
      <c r="AB12" s="175" t="s">
        <v>24</v>
      </c>
      <c r="AC12" s="175" t="s">
        <v>25</v>
      </c>
    </row>
    <row r="13" spans="1:30" s="109" customFormat="1" ht="15.75" thickBot="1">
      <c r="A13" s="176">
        <v>1</v>
      </c>
      <c r="B13" s="176">
        <v>2</v>
      </c>
      <c r="C13" s="176"/>
      <c r="D13" s="176">
        <v>5</v>
      </c>
      <c r="E13" s="176">
        <v>5</v>
      </c>
      <c r="F13" s="176">
        <v>5</v>
      </c>
      <c r="G13" s="176">
        <v>5</v>
      </c>
      <c r="H13" s="176">
        <v>5</v>
      </c>
      <c r="I13" s="176">
        <v>5</v>
      </c>
      <c r="J13" s="176">
        <v>5</v>
      </c>
      <c r="K13" s="176">
        <v>5</v>
      </c>
      <c r="L13" s="176">
        <v>5</v>
      </c>
      <c r="M13" s="176">
        <v>5</v>
      </c>
      <c r="N13" s="176">
        <v>5</v>
      </c>
      <c r="O13" s="176">
        <v>5</v>
      </c>
      <c r="P13" s="176">
        <v>6</v>
      </c>
      <c r="Q13" s="176">
        <v>7</v>
      </c>
      <c r="R13" s="176">
        <v>7</v>
      </c>
      <c r="S13" s="176">
        <v>7</v>
      </c>
      <c r="T13" s="176">
        <v>7</v>
      </c>
      <c r="U13" s="176">
        <v>7</v>
      </c>
      <c r="V13" s="176">
        <v>7</v>
      </c>
      <c r="W13" s="176">
        <v>7</v>
      </c>
      <c r="X13" s="176">
        <v>7</v>
      </c>
      <c r="Y13" s="176">
        <v>7</v>
      </c>
      <c r="Z13" s="176">
        <v>7</v>
      </c>
      <c r="AA13" s="176">
        <v>7</v>
      </c>
      <c r="AB13" s="176">
        <v>7</v>
      </c>
      <c r="AC13" s="176">
        <v>8</v>
      </c>
      <c r="AD13" s="121" t="s">
        <v>270</v>
      </c>
    </row>
    <row r="14" spans="1:30" s="34" customFormat="1" ht="13.5" thickBot="1">
      <c r="A14" s="122"/>
      <c r="B14" s="123" t="s">
        <v>111</v>
      </c>
      <c r="C14" s="124">
        <f aca="true" t="shared" si="0" ref="C14:AC14">SUM(C15,C17,C20)</f>
        <v>384957687.65999997</v>
      </c>
      <c r="D14" s="124">
        <f t="shared" si="0"/>
        <v>0</v>
      </c>
      <c r="E14" s="124">
        <f t="shared" si="0"/>
        <v>79115509</v>
      </c>
      <c r="F14" s="124">
        <f t="shared" si="0"/>
        <v>152894929.66</v>
      </c>
      <c r="G14" s="124">
        <f t="shared" si="0"/>
        <v>76050044</v>
      </c>
      <c r="H14" s="124">
        <f t="shared" si="0"/>
        <v>46921979</v>
      </c>
      <c r="I14" s="124">
        <f t="shared" si="0"/>
        <v>6583558</v>
      </c>
      <c r="J14" s="124">
        <f t="shared" si="0"/>
        <v>19991668</v>
      </c>
      <c r="K14" s="124">
        <f t="shared" si="0"/>
        <v>3400000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24">
        <f t="shared" si="0"/>
        <v>384957687.65999997</v>
      </c>
      <c r="Q14" s="124">
        <f t="shared" si="0"/>
        <v>0</v>
      </c>
      <c r="R14" s="124">
        <f t="shared" si="0"/>
        <v>62044385</v>
      </c>
      <c r="S14" s="124">
        <f t="shared" si="0"/>
        <v>144973302.66</v>
      </c>
      <c r="T14" s="124">
        <f t="shared" si="0"/>
        <v>94845752</v>
      </c>
      <c r="U14" s="124">
        <f t="shared" si="0"/>
        <v>51481979</v>
      </c>
      <c r="V14" s="124">
        <f t="shared" si="0"/>
        <v>8220601</v>
      </c>
      <c r="W14" s="124">
        <f t="shared" si="0"/>
        <v>13191668</v>
      </c>
      <c r="X14" s="124">
        <f t="shared" si="0"/>
        <v>10200000</v>
      </c>
      <c r="Y14" s="124">
        <f t="shared" si="0"/>
        <v>0</v>
      </c>
      <c r="Z14" s="124">
        <f t="shared" si="0"/>
        <v>0</v>
      </c>
      <c r="AA14" s="124">
        <f t="shared" si="0"/>
        <v>0</v>
      </c>
      <c r="AB14" s="124">
        <f t="shared" si="0"/>
        <v>0</v>
      </c>
      <c r="AC14" s="236">
        <f t="shared" si="0"/>
        <v>384957687.65999997</v>
      </c>
      <c r="AD14" s="126">
        <f>SUM(AD15,AD17)</f>
        <v>0</v>
      </c>
    </row>
    <row r="15" spans="1:30" s="34" customFormat="1" ht="13.5" thickBot="1">
      <c r="A15" s="122"/>
      <c r="B15" s="123" t="s">
        <v>84</v>
      </c>
      <c r="C15" s="124">
        <f aca="true" t="shared" si="1" ref="C15:AD16">SUM(C16:C16)</f>
        <v>46450256.66</v>
      </c>
      <c r="D15" s="124">
        <f t="shared" si="1"/>
        <v>0</v>
      </c>
      <c r="E15" s="124">
        <f t="shared" si="1"/>
        <v>14923591</v>
      </c>
      <c r="F15" s="124">
        <f t="shared" si="1"/>
        <v>12649999.66</v>
      </c>
      <c r="G15" s="124">
        <f t="shared" si="1"/>
        <v>4430000</v>
      </c>
      <c r="H15" s="124">
        <f t="shared" si="1"/>
        <v>1900000</v>
      </c>
      <c r="I15" s="124">
        <f t="shared" si="1"/>
        <v>2346666</v>
      </c>
      <c r="J15" s="124">
        <f t="shared" si="1"/>
        <v>6800000</v>
      </c>
      <c r="K15" s="124">
        <f t="shared" si="1"/>
        <v>3400000</v>
      </c>
      <c r="L15" s="124">
        <f t="shared" si="1"/>
        <v>0</v>
      </c>
      <c r="M15" s="124">
        <f t="shared" si="1"/>
        <v>0</v>
      </c>
      <c r="N15" s="124">
        <f t="shared" si="1"/>
        <v>0</v>
      </c>
      <c r="O15" s="124">
        <f t="shared" si="1"/>
        <v>0</v>
      </c>
      <c r="P15" s="124">
        <f t="shared" si="1"/>
        <v>46450256.66</v>
      </c>
      <c r="Q15" s="124">
        <f t="shared" si="1"/>
        <v>0</v>
      </c>
      <c r="R15" s="124">
        <f t="shared" si="1"/>
        <v>14492394</v>
      </c>
      <c r="S15" s="124">
        <f t="shared" si="1"/>
        <v>11181196.66</v>
      </c>
      <c r="T15" s="124">
        <f t="shared" si="1"/>
        <v>6330000</v>
      </c>
      <c r="U15" s="124">
        <f t="shared" si="1"/>
        <v>1900000</v>
      </c>
      <c r="V15" s="124">
        <f t="shared" si="1"/>
        <v>2346666</v>
      </c>
      <c r="W15" s="124">
        <f t="shared" si="1"/>
        <v>0</v>
      </c>
      <c r="X15" s="124">
        <f t="shared" si="1"/>
        <v>10200000</v>
      </c>
      <c r="Y15" s="124">
        <f t="shared" si="1"/>
        <v>0</v>
      </c>
      <c r="Z15" s="124">
        <f t="shared" si="1"/>
        <v>0</v>
      </c>
      <c r="AA15" s="124">
        <f t="shared" si="1"/>
        <v>0</v>
      </c>
      <c r="AB15" s="124">
        <f t="shared" si="1"/>
        <v>0</v>
      </c>
      <c r="AC15" s="236">
        <f t="shared" si="1"/>
        <v>46450256.66</v>
      </c>
      <c r="AD15" s="126">
        <f t="shared" si="1"/>
        <v>0</v>
      </c>
    </row>
    <row r="16" spans="1:30" s="27" customFormat="1" ht="13.5" thickBot="1">
      <c r="A16" s="51" t="s">
        <v>80</v>
      </c>
      <c r="B16" s="130" t="s">
        <v>49</v>
      </c>
      <c r="C16" s="131">
        <f>54183591-7733334.34</f>
        <v>46450256.66</v>
      </c>
      <c r="D16" s="131">
        <v>0</v>
      </c>
      <c r="E16" s="132">
        <v>14923591</v>
      </c>
      <c r="F16" s="131">
        <v>12649999.66</v>
      </c>
      <c r="G16" s="131">
        <v>4430000</v>
      </c>
      <c r="H16" s="131">
        <v>1900000</v>
      </c>
      <c r="I16" s="131">
        <v>2346666</v>
      </c>
      <c r="J16" s="131">
        <v>6800000</v>
      </c>
      <c r="K16" s="131">
        <v>3400000</v>
      </c>
      <c r="L16" s="131">
        <v>0</v>
      </c>
      <c r="M16" s="131">
        <v>0</v>
      </c>
      <c r="N16" s="131">
        <v>0</v>
      </c>
      <c r="O16" s="131">
        <v>0</v>
      </c>
      <c r="P16" s="132">
        <f>SUM(D16:O16)</f>
        <v>46450256.66</v>
      </c>
      <c r="Q16" s="131">
        <v>0</v>
      </c>
      <c r="R16" s="132">
        <v>14492394</v>
      </c>
      <c r="S16" s="131">
        <v>11181196.66</v>
      </c>
      <c r="T16" s="131">
        <v>6330000</v>
      </c>
      <c r="U16" s="131">
        <v>1900000</v>
      </c>
      <c r="V16" s="131">
        <v>2346666</v>
      </c>
      <c r="W16" s="131">
        <v>0</v>
      </c>
      <c r="X16" s="131">
        <v>10200000</v>
      </c>
      <c r="Y16" s="131"/>
      <c r="Z16" s="131"/>
      <c r="AA16" s="124">
        <f t="shared" si="1"/>
        <v>0</v>
      </c>
      <c r="AB16" s="131"/>
      <c r="AC16" s="237">
        <f>SUM(Q16:AB16)</f>
        <v>46450256.66</v>
      </c>
      <c r="AD16" s="27">
        <f>SUM(C16-P16)</f>
        <v>0</v>
      </c>
    </row>
    <row r="17" spans="1:30" s="34" customFormat="1" ht="13.5" thickBot="1">
      <c r="A17" s="96"/>
      <c r="B17" s="136" t="s">
        <v>85</v>
      </c>
      <c r="C17" s="137">
        <f aca="true" t="shared" si="2" ref="C17:AD17">SUM(C18:C19)</f>
        <v>338507431</v>
      </c>
      <c r="D17" s="137">
        <f t="shared" si="2"/>
        <v>0</v>
      </c>
      <c r="E17" s="137">
        <f t="shared" si="2"/>
        <v>64191918</v>
      </c>
      <c r="F17" s="137">
        <f t="shared" si="2"/>
        <v>140244930</v>
      </c>
      <c r="G17" s="137">
        <f t="shared" si="2"/>
        <v>71620044</v>
      </c>
      <c r="H17" s="137">
        <f t="shared" si="2"/>
        <v>45021979</v>
      </c>
      <c r="I17" s="137">
        <f t="shared" si="2"/>
        <v>4236892</v>
      </c>
      <c r="J17" s="137">
        <f t="shared" si="2"/>
        <v>13191668</v>
      </c>
      <c r="K17" s="137">
        <f t="shared" si="2"/>
        <v>0</v>
      </c>
      <c r="L17" s="137">
        <f t="shared" si="2"/>
        <v>0</v>
      </c>
      <c r="M17" s="137">
        <f t="shared" si="2"/>
        <v>0</v>
      </c>
      <c r="N17" s="137">
        <f t="shared" si="2"/>
        <v>0</v>
      </c>
      <c r="O17" s="137">
        <f t="shared" si="2"/>
        <v>0</v>
      </c>
      <c r="P17" s="137">
        <f t="shared" si="2"/>
        <v>338507431</v>
      </c>
      <c r="Q17" s="137">
        <f t="shared" si="2"/>
        <v>0</v>
      </c>
      <c r="R17" s="137">
        <f t="shared" si="2"/>
        <v>47551991</v>
      </c>
      <c r="S17" s="137">
        <f t="shared" si="2"/>
        <v>133792106</v>
      </c>
      <c r="T17" s="137">
        <f t="shared" si="2"/>
        <v>88515752</v>
      </c>
      <c r="U17" s="137">
        <f t="shared" si="2"/>
        <v>49581979</v>
      </c>
      <c r="V17" s="137">
        <f t="shared" si="2"/>
        <v>5873935</v>
      </c>
      <c r="W17" s="137">
        <f t="shared" si="2"/>
        <v>13191668</v>
      </c>
      <c r="X17" s="137">
        <f t="shared" si="2"/>
        <v>0</v>
      </c>
      <c r="Y17" s="137">
        <f t="shared" si="2"/>
        <v>0</v>
      </c>
      <c r="Z17" s="137">
        <f t="shared" si="2"/>
        <v>0</v>
      </c>
      <c r="AA17" s="131">
        <v>0</v>
      </c>
      <c r="AB17" s="137">
        <f t="shared" si="2"/>
        <v>0</v>
      </c>
      <c r="AC17" s="125">
        <f t="shared" si="2"/>
        <v>338507431</v>
      </c>
      <c r="AD17" s="138">
        <f t="shared" si="2"/>
        <v>0</v>
      </c>
    </row>
    <row r="18" spans="1:30" s="27" customFormat="1" ht="13.5" thickBot="1">
      <c r="A18" s="54" t="s">
        <v>77</v>
      </c>
      <c r="B18" s="139" t="s">
        <v>78</v>
      </c>
      <c r="C18" s="140">
        <v>33649253</v>
      </c>
      <c r="D18" s="140">
        <v>0</v>
      </c>
      <c r="E18" s="132">
        <v>22029560</v>
      </c>
      <c r="F18" s="140">
        <v>5619693</v>
      </c>
      <c r="G18" s="140">
        <v>6000000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1">
        <f>SUM(D18:O18)</f>
        <v>33649253</v>
      </c>
      <c r="Q18" s="140">
        <v>0</v>
      </c>
      <c r="R18" s="132">
        <v>22029560</v>
      </c>
      <c r="S18" s="140">
        <v>5619693</v>
      </c>
      <c r="T18" s="140">
        <v>0</v>
      </c>
      <c r="U18" s="140">
        <v>6000000</v>
      </c>
      <c r="V18" s="140">
        <v>0</v>
      </c>
      <c r="W18" s="140">
        <v>0</v>
      </c>
      <c r="X18" s="140">
        <v>0</v>
      </c>
      <c r="Y18" s="140"/>
      <c r="Z18" s="140"/>
      <c r="AA18" s="137">
        <f>SUM(AA19:AA20)</f>
        <v>0</v>
      </c>
      <c r="AB18" s="140"/>
      <c r="AC18" s="142">
        <f>SUM(Q18:AB18)</f>
        <v>33649253</v>
      </c>
      <c r="AD18" s="27">
        <f>SUM(C18-P18)</f>
        <v>0</v>
      </c>
    </row>
    <row r="19" spans="1:30" s="27" customFormat="1" ht="13.5" thickBot="1">
      <c r="A19" s="51" t="s">
        <v>79</v>
      </c>
      <c r="B19" s="130" t="s">
        <v>62</v>
      </c>
      <c r="C19" s="143">
        <f>305064211-206033</f>
        <v>304858178</v>
      </c>
      <c r="D19" s="131">
        <v>0</v>
      </c>
      <c r="E19" s="132">
        <v>42162358</v>
      </c>
      <c r="F19" s="131">
        <v>134625237</v>
      </c>
      <c r="G19" s="131">
        <v>65620044</v>
      </c>
      <c r="H19" s="131">
        <v>45021979</v>
      </c>
      <c r="I19" s="131">
        <v>4236892</v>
      </c>
      <c r="J19" s="131">
        <v>13191668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41">
        <f>SUM(D19:O19)</f>
        <v>304858178</v>
      </c>
      <c r="Q19" s="131">
        <v>0</v>
      </c>
      <c r="R19" s="132">
        <v>25522431</v>
      </c>
      <c r="S19" s="131">
        <v>128172413</v>
      </c>
      <c r="T19" s="131">
        <v>88515752</v>
      </c>
      <c r="U19" s="131">
        <v>43581979</v>
      </c>
      <c r="V19" s="131">
        <v>5873935</v>
      </c>
      <c r="W19" s="131">
        <v>13191668</v>
      </c>
      <c r="X19" s="131">
        <v>0</v>
      </c>
      <c r="Y19" s="131"/>
      <c r="Z19" s="131"/>
      <c r="AA19" s="140">
        <v>0</v>
      </c>
      <c r="AB19" s="131"/>
      <c r="AC19" s="142">
        <f>SUM(Q19:AB19)</f>
        <v>304858178</v>
      </c>
      <c r="AD19" s="27">
        <f>SUM(C19-P19)</f>
        <v>0</v>
      </c>
    </row>
    <row r="20" spans="1:30" s="34" customFormat="1" ht="13.5" hidden="1" thickBot="1">
      <c r="A20" s="96"/>
      <c r="B20" s="136" t="s">
        <v>106</v>
      </c>
      <c r="C20" s="137">
        <f aca="true" t="shared" si="3" ref="C20:AD20">SUM(C21:C23)</f>
        <v>0</v>
      </c>
      <c r="D20" s="137">
        <f t="shared" si="3"/>
        <v>0</v>
      </c>
      <c r="E20" s="137">
        <f t="shared" si="3"/>
        <v>0</v>
      </c>
      <c r="F20" s="137">
        <f t="shared" si="3"/>
        <v>0</v>
      </c>
      <c r="G20" s="137">
        <f t="shared" si="3"/>
        <v>0</v>
      </c>
      <c r="H20" s="137">
        <f t="shared" si="3"/>
        <v>0</v>
      </c>
      <c r="I20" s="137">
        <f t="shared" si="3"/>
        <v>0</v>
      </c>
      <c r="J20" s="137">
        <f t="shared" si="3"/>
        <v>0</v>
      </c>
      <c r="K20" s="137">
        <f t="shared" si="3"/>
        <v>0</v>
      </c>
      <c r="L20" s="137">
        <f t="shared" si="3"/>
        <v>0</v>
      </c>
      <c r="M20" s="137">
        <f t="shared" si="3"/>
        <v>0</v>
      </c>
      <c r="N20" s="137">
        <f t="shared" si="3"/>
        <v>0</v>
      </c>
      <c r="O20" s="137">
        <f t="shared" si="3"/>
        <v>0</v>
      </c>
      <c r="P20" s="137">
        <f t="shared" si="3"/>
        <v>0</v>
      </c>
      <c r="Q20" s="137">
        <f t="shared" si="3"/>
        <v>0</v>
      </c>
      <c r="R20" s="137">
        <f t="shared" si="3"/>
        <v>0</v>
      </c>
      <c r="S20" s="137">
        <f t="shared" si="3"/>
        <v>0</v>
      </c>
      <c r="T20" s="137">
        <f t="shared" si="3"/>
        <v>0</v>
      </c>
      <c r="U20" s="137">
        <f t="shared" si="3"/>
        <v>0</v>
      </c>
      <c r="V20" s="137">
        <f t="shared" si="3"/>
        <v>0</v>
      </c>
      <c r="W20" s="137">
        <f t="shared" si="3"/>
        <v>0</v>
      </c>
      <c r="X20" s="137">
        <f t="shared" si="3"/>
        <v>0</v>
      </c>
      <c r="Y20" s="137">
        <f t="shared" si="3"/>
        <v>0</v>
      </c>
      <c r="Z20" s="137">
        <f t="shared" si="3"/>
        <v>0</v>
      </c>
      <c r="AA20" s="131">
        <v>0</v>
      </c>
      <c r="AB20" s="137">
        <f t="shared" si="3"/>
        <v>0</v>
      </c>
      <c r="AC20" s="125">
        <f t="shared" si="3"/>
        <v>0</v>
      </c>
      <c r="AD20" s="138" t="e">
        <f t="shared" si="3"/>
        <v>#REF!</v>
      </c>
    </row>
    <row r="21" spans="1:30" s="27" customFormat="1" ht="13.5" hidden="1" thickBot="1">
      <c r="A21" s="185" t="s">
        <v>66</v>
      </c>
      <c r="B21" s="145" t="s">
        <v>113</v>
      </c>
      <c r="C21" s="146"/>
      <c r="D21" s="131"/>
      <c r="E21" s="135"/>
      <c r="F21" s="132"/>
      <c r="G21" s="146"/>
      <c r="H21" s="132"/>
      <c r="I21" s="131"/>
      <c r="J21" s="131"/>
      <c r="K21" s="131"/>
      <c r="L21" s="131"/>
      <c r="M21" s="131"/>
      <c r="N21" s="131"/>
      <c r="O21" s="131"/>
      <c r="P21" s="132">
        <f>SUM(D21:O21)</f>
        <v>0</v>
      </c>
      <c r="Q21" s="131">
        <v>0</v>
      </c>
      <c r="R21" s="132"/>
      <c r="S21" s="131"/>
      <c r="T21" s="131"/>
      <c r="U21" s="131"/>
      <c r="V21" s="131"/>
      <c r="W21" s="131"/>
      <c r="X21" s="131"/>
      <c r="Y21" s="146"/>
      <c r="Z21" s="132"/>
      <c r="AA21" s="137">
        <f>SUM(AA22:AA24)</f>
        <v>0</v>
      </c>
      <c r="AB21" s="131"/>
      <c r="AC21" s="133">
        <f>SUM(Q21:AB21)</f>
        <v>0</v>
      </c>
      <c r="AD21" s="27" t="e">
        <f>SUM(C21-#REF!)</f>
        <v>#REF!</v>
      </c>
    </row>
    <row r="22" spans="1:30" s="27" customFormat="1" ht="13.5" hidden="1" thickBot="1">
      <c r="A22" s="51" t="s">
        <v>128</v>
      </c>
      <c r="B22" s="130" t="s">
        <v>127</v>
      </c>
      <c r="C22" s="131"/>
      <c r="D22" s="131"/>
      <c r="E22" s="135"/>
      <c r="F22" s="132"/>
      <c r="G22" s="131"/>
      <c r="H22" s="132"/>
      <c r="I22" s="131"/>
      <c r="J22" s="131"/>
      <c r="K22" s="131"/>
      <c r="L22" s="131"/>
      <c r="M22" s="131"/>
      <c r="N22" s="131"/>
      <c r="O22" s="131"/>
      <c r="P22" s="132">
        <f>SUM(D22:O22)</f>
        <v>0</v>
      </c>
      <c r="Q22" s="131">
        <v>0</v>
      </c>
      <c r="R22" s="132"/>
      <c r="S22" s="131"/>
      <c r="T22" s="131"/>
      <c r="U22" s="131"/>
      <c r="V22" s="131"/>
      <c r="W22" s="131"/>
      <c r="X22" s="131"/>
      <c r="Y22" s="146"/>
      <c r="Z22" s="132"/>
      <c r="AA22" s="131"/>
      <c r="AB22" s="131"/>
      <c r="AC22" s="133">
        <f>SUM(Q22:AB22)</f>
        <v>0</v>
      </c>
      <c r="AD22" s="27" t="e">
        <f>SUM(C22-#REF!)</f>
        <v>#REF!</v>
      </c>
    </row>
    <row r="23" spans="1:30" s="27" customFormat="1" ht="13.5" hidden="1" thickBot="1">
      <c r="A23" s="51" t="s">
        <v>117</v>
      </c>
      <c r="B23" s="130" t="s">
        <v>118</v>
      </c>
      <c r="C23" s="141"/>
      <c r="D23" s="132"/>
      <c r="E23" s="149"/>
      <c r="F23" s="132"/>
      <c r="G23" s="134"/>
      <c r="H23" s="132"/>
      <c r="I23" s="150"/>
      <c r="J23" s="134"/>
      <c r="K23" s="134"/>
      <c r="L23" s="151"/>
      <c r="M23" s="134"/>
      <c r="N23" s="140"/>
      <c r="O23" s="131"/>
      <c r="P23" s="141">
        <f>SUM(D23:O23)</f>
        <v>0</v>
      </c>
      <c r="Q23" s="141">
        <v>0</v>
      </c>
      <c r="R23" s="149"/>
      <c r="S23" s="147"/>
      <c r="T23" s="147"/>
      <c r="U23" s="134"/>
      <c r="V23" s="150"/>
      <c r="W23" s="147"/>
      <c r="X23" s="134"/>
      <c r="Y23" s="148"/>
      <c r="Z23" s="134"/>
      <c r="AA23" s="131"/>
      <c r="AB23" s="131"/>
      <c r="AC23" s="133">
        <f>SUM(Q23:AB23)</f>
        <v>0</v>
      </c>
      <c r="AD23" s="27" t="e">
        <f>SUM(C23-#REF!)</f>
        <v>#REF!</v>
      </c>
    </row>
    <row r="24" spans="1:30" s="34" customFormat="1" ht="18" customHeight="1" thickBot="1">
      <c r="A24" s="96"/>
      <c r="B24" s="136" t="s">
        <v>83</v>
      </c>
      <c r="C24" s="137">
        <f aca="true" t="shared" si="4" ref="C24:AD24">SUM(C25:C45)</f>
        <v>23426584104.74</v>
      </c>
      <c r="D24" s="137">
        <f t="shared" si="4"/>
        <v>22329869</v>
      </c>
      <c r="E24" s="137">
        <f t="shared" si="4"/>
        <v>3809564034</v>
      </c>
      <c r="F24" s="137">
        <f t="shared" si="4"/>
        <v>10322294102</v>
      </c>
      <c r="G24" s="137">
        <f t="shared" si="4"/>
        <v>1539884904</v>
      </c>
      <c r="H24" s="137">
        <f t="shared" si="4"/>
        <v>1107344184</v>
      </c>
      <c r="I24" s="137">
        <f t="shared" si="4"/>
        <v>3342221480.5</v>
      </c>
      <c r="J24" s="137">
        <f t="shared" si="4"/>
        <v>2494304015</v>
      </c>
      <c r="K24" s="137">
        <f t="shared" si="4"/>
        <v>168275637</v>
      </c>
      <c r="L24" s="137">
        <f t="shared" si="4"/>
        <v>368895902.44</v>
      </c>
      <c r="M24" s="137">
        <f t="shared" si="4"/>
        <v>5560931</v>
      </c>
      <c r="N24" s="137">
        <f t="shared" si="4"/>
        <v>0</v>
      </c>
      <c r="O24" s="137">
        <f t="shared" si="4"/>
        <v>245909045.8</v>
      </c>
      <c r="P24" s="137">
        <f t="shared" si="4"/>
        <v>23426584104.74</v>
      </c>
      <c r="Q24" s="137">
        <f t="shared" si="4"/>
        <v>0</v>
      </c>
      <c r="R24" s="137">
        <f t="shared" si="4"/>
        <v>1239248242</v>
      </c>
      <c r="S24" s="137">
        <f t="shared" si="4"/>
        <v>12208719526</v>
      </c>
      <c r="T24" s="137">
        <f t="shared" si="4"/>
        <v>2228485553</v>
      </c>
      <c r="U24" s="137">
        <f t="shared" si="4"/>
        <v>1102179143</v>
      </c>
      <c r="V24" s="137">
        <f t="shared" si="4"/>
        <v>3359678685.5</v>
      </c>
      <c r="W24" s="137">
        <f t="shared" si="4"/>
        <v>2498262815</v>
      </c>
      <c r="X24" s="137">
        <f t="shared" si="4"/>
        <v>28878760</v>
      </c>
      <c r="Y24" s="137">
        <f t="shared" si="4"/>
        <v>365214762</v>
      </c>
      <c r="Z24" s="137">
        <f t="shared" si="4"/>
        <v>150007572.44</v>
      </c>
      <c r="AA24" s="140"/>
      <c r="AB24" s="137">
        <f t="shared" si="4"/>
        <v>245909045.8</v>
      </c>
      <c r="AC24" s="125">
        <f t="shared" si="4"/>
        <v>23426584104.74</v>
      </c>
      <c r="AD24" s="138">
        <f t="shared" si="4"/>
        <v>0</v>
      </c>
    </row>
    <row r="25" spans="1:30" s="12" customFormat="1" ht="13.5" thickBot="1">
      <c r="A25" s="144" t="s">
        <v>148</v>
      </c>
      <c r="B25" s="201" t="s">
        <v>138</v>
      </c>
      <c r="C25" s="140">
        <f>276149605-4275000-165957</f>
        <v>271708648</v>
      </c>
      <c r="D25" s="140">
        <v>0</v>
      </c>
      <c r="E25" s="140">
        <v>152882372</v>
      </c>
      <c r="F25" s="140">
        <v>67522475</v>
      </c>
      <c r="G25" s="140">
        <v>25489702</v>
      </c>
      <c r="H25" s="140">
        <v>10291646</v>
      </c>
      <c r="I25" s="140">
        <v>14153829</v>
      </c>
      <c r="J25" s="140">
        <v>1368624</v>
      </c>
      <c r="K25" s="140">
        <v>0</v>
      </c>
      <c r="L25" s="140">
        <v>0</v>
      </c>
      <c r="M25" s="140">
        <v>0</v>
      </c>
      <c r="N25" s="131">
        <v>0</v>
      </c>
      <c r="O25" s="140">
        <v>0</v>
      </c>
      <c r="P25" s="141">
        <f aca="true" t="shared" si="5" ref="P25:P45">SUM(D25:O25)</f>
        <v>271708648</v>
      </c>
      <c r="Q25" s="140">
        <v>0</v>
      </c>
      <c r="R25" s="140">
        <v>145095696</v>
      </c>
      <c r="S25" s="140">
        <v>34063745</v>
      </c>
      <c r="T25" s="140">
        <v>58428882</v>
      </c>
      <c r="U25" s="140">
        <v>16041562</v>
      </c>
      <c r="V25" s="140">
        <v>16710139</v>
      </c>
      <c r="W25" s="140">
        <v>0</v>
      </c>
      <c r="X25" s="140">
        <v>1368624</v>
      </c>
      <c r="Y25" s="140">
        <v>0</v>
      </c>
      <c r="Z25" s="140">
        <v>0</v>
      </c>
      <c r="AA25" s="137">
        <f>SUM(AA26:AA46)</f>
        <v>0</v>
      </c>
      <c r="AB25" s="140">
        <v>0</v>
      </c>
      <c r="AC25" s="133">
        <f aca="true" t="shared" si="6" ref="AC25:AC45">SUM(Q25:AB25)</f>
        <v>271708648</v>
      </c>
      <c r="AD25" s="27">
        <f>SUM(C25-P25)</f>
        <v>0</v>
      </c>
    </row>
    <row r="26" spans="1:30" s="12" customFormat="1" ht="12.75">
      <c r="A26" s="153" t="s">
        <v>149</v>
      </c>
      <c r="B26" s="29" t="s">
        <v>139</v>
      </c>
      <c r="C26" s="140">
        <f>290049130-1735667-2450000-6000000</f>
        <v>279863463</v>
      </c>
      <c r="D26" s="140">
        <v>0</v>
      </c>
      <c r="E26" s="140">
        <v>89874910</v>
      </c>
      <c r="F26" s="140">
        <v>47130870</v>
      </c>
      <c r="G26" s="140">
        <v>28268670</v>
      </c>
      <c r="H26" s="140">
        <v>34677340</v>
      </c>
      <c r="I26" s="140">
        <v>16603670</v>
      </c>
      <c r="J26" s="140">
        <v>15753670</v>
      </c>
      <c r="K26" s="140">
        <v>21004333</v>
      </c>
      <c r="L26" s="140">
        <v>23300000</v>
      </c>
      <c r="M26" s="140">
        <v>0</v>
      </c>
      <c r="N26" s="131">
        <v>0</v>
      </c>
      <c r="O26" s="140">
        <v>3250000</v>
      </c>
      <c r="P26" s="141">
        <f t="shared" si="5"/>
        <v>279863463</v>
      </c>
      <c r="Q26" s="140">
        <v>0</v>
      </c>
      <c r="R26" s="140">
        <v>86205366</v>
      </c>
      <c r="S26" s="140">
        <v>9489544</v>
      </c>
      <c r="T26" s="140">
        <v>69579540</v>
      </c>
      <c r="U26" s="140">
        <v>18923670</v>
      </c>
      <c r="V26" s="140">
        <v>32357340</v>
      </c>
      <c r="W26" s="140">
        <v>15753670</v>
      </c>
      <c r="X26" s="140">
        <v>21004333</v>
      </c>
      <c r="Y26" s="140">
        <v>13000000</v>
      </c>
      <c r="Z26" s="140">
        <v>10300000</v>
      </c>
      <c r="AA26" s="131">
        <v>0</v>
      </c>
      <c r="AB26" s="140">
        <v>3250000</v>
      </c>
      <c r="AC26" s="133">
        <f t="shared" si="6"/>
        <v>279863463</v>
      </c>
      <c r="AD26" s="27">
        <f aca="true" t="shared" si="7" ref="AD26:AD45">SUM(C26-P26)</f>
        <v>0</v>
      </c>
    </row>
    <row r="27" spans="1:30" s="12" customFormat="1" ht="12.75">
      <c r="A27" s="153" t="s">
        <v>156</v>
      </c>
      <c r="B27" s="29" t="s">
        <v>155</v>
      </c>
      <c r="C27" s="140">
        <f>19121383055-976-568230</f>
        <v>19120813849</v>
      </c>
      <c r="D27" s="140">
        <v>0</v>
      </c>
      <c r="E27" s="140">
        <v>2553365366</v>
      </c>
      <c r="F27" s="140">
        <v>9956292641</v>
      </c>
      <c r="G27" s="140">
        <v>751482440</v>
      </c>
      <c r="H27" s="140">
        <v>391540372</v>
      </c>
      <c r="I27" s="140">
        <v>3127427694</v>
      </c>
      <c r="J27" s="140">
        <v>2333952613</v>
      </c>
      <c r="K27" s="140">
        <v>2505803</v>
      </c>
      <c r="L27" s="140">
        <v>2761989</v>
      </c>
      <c r="M27" s="140">
        <v>1484931</v>
      </c>
      <c r="N27" s="140">
        <v>0</v>
      </c>
      <c r="O27" s="140">
        <v>0</v>
      </c>
      <c r="P27" s="141">
        <f t="shared" si="5"/>
        <v>19120813849</v>
      </c>
      <c r="Q27" s="140">
        <v>0</v>
      </c>
      <c r="R27" s="140">
        <v>49468624</v>
      </c>
      <c r="S27" s="140">
        <v>11864870083</v>
      </c>
      <c r="T27" s="140">
        <v>1343901044</v>
      </c>
      <c r="U27" s="140">
        <v>393142419</v>
      </c>
      <c r="V27" s="140">
        <v>3123398919</v>
      </c>
      <c r="W27" s="140">
        <v>2339280037</v>
      </c>
      <c r="X27" s="140">
        <v>2505803</v>
      </c>
      <c r="Y27" s="140">
        <v>1345600</v>
      </c>
      <c r="Z27" s="140">
        <v>2901320</v>
      </c>
      <c r="AA27" s="131">
        <v>0</v>
      </c>
      <c r="AB27" s="140">
        <v>0</v>
      </c>
      <c r="AC27" s="133">
        <f t="shared" si="6"/>
        <v>19120813849</v>
      </c>
      <c r="AD27" s="27">
        <f t="shared" si="7"/>
        <v>0</v>
      </c>
    </row>
    <row r="28" spans="1:30" s="12" customFormat="1" ht="12.75">
      <c r="A28" s="153" t="s">
        <v>157</v>
      </c>
      <c r="B28" s="29" t="s">
        <v>158</v>
      </c>
      <c r="C28" s="140">
        <v>46231459</v>
      </c>
      <c r="D28" s="140">
        <v>0</v>
      </c>
      <c r="E28" s="140">
        <v>36687934</v>
      </c>
      <c r="F28" s="140">
        <v>3150000</v>
      </c>
      <c r="G28" s="140">
        <v>4127610</v>
      </c>
      <c r="H28" s="140">
        <v>2265915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1">
        <f t="shared" si="5"/>
        <v>46231459</v>
      </c>
      <c r="Q28" s="140">
        <v>0</v>
      </c>
      <c r="R28" s="140">
        <v>36687934</v>
      </c>
      <c r="S28" s="140">
        <v>3150000</v>
      </c>
      <c r="T28" s="140">
        <v>1877610</v>
      </c>
      <c r="U28" s="140">
        <v>4515915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33">
        <f t="shared" si="6"/>
        <v>46231459</v>
      </c>
      <c r="AD28" s="27">
        <f t="shared" si="7"/>
        <v>0</v>
      </c>
    </row>
    <row r="29" spans="1:30" s="12" customFormat="1" ht="12.75">
      <c r="A29" s="153" t="s">
        <v>132</v>
      </c>
      <c r="B29" s="29" t="s">
        <v>144</v>
      </c>
      <c r="C29" s="140">
        <f>170380031-421957-105860</f>
        <v>169852214</v>
      </c>
      <c r="D29" s="140">
        <v>2963309</v>
      </c>
      <c r="E29" s="140">
        <v>142906671</v>
      </c>
      <c r="F29" s="140">
        <v>23087971</v>
      </c>
      <c r="G29" s="140">
        <v>832278</v>
      </c>
      <c r="H29" s="140">
        <v>61985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1">
        <f t="shared" si="5"/>
        <v>169852214</v>
      </c>
      <c r="Q29" s="140">
        <v>0</v>
      </c>
      <c r="R29" s="140">
        <v>142677980</v>
      </c>
      <c r="S29" s="140">
        <v>24329431</v>
      </c>
      <c r="T29" s="140">
        <v>2782818</v>
      </c>
      <c r="U29" s="140">
        <v>61985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0">
        <v>0</v>
      </c>
      <c r="AC29" s="133">
        <f t="shared" si="6"/>
        <v>169852214</v>
      </c>
      <c r="AD29" s="27">
        <f t="shared" si="7"/>
        <v>0</v>
      </c>
    </row>
    <row r="30" spans="1:30" s="12" customFormat="1" ht="12.75">
      <c r="A30" s="153" t="s">
        <v>140</v>
      </c>
      <c r="B30" s="28" t="s">
        <v>141</v>
      </c>
      <c r="C30" s="131">
        <f>239958573-1621957</f>
        <v>238336616</v>
      </c>
      <c r="D30" s="131">
        <v>843633</v>
      </c>
      <c r="E30" s="131">
        <v>221107420</v>
      </c>
      <c r="F30" s="131">
        <v>10581076</v>
      </c>
      <c r="G30" s="140">
        <v>4331354</v>
      </c>
      <c r="H30" s="140">
        <v>1473133</v>
      </c>
      <c r="I30" s="140">
        <v>0</v>
      </c>
      <c r="J30" s="140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41">
        <f t="shared" si="5"/>
        <v>238336616</v>
      </c>
      <c r="Q30" s="140">
        <v>0</v>
      </c>
      <c r="R30" s="131">
        <v>216798101</v>
      </c>
      <c r="S30" s="131">
        <v>15634028</v>
      </c>
      <c r="T30" s="140">
        <v>3652632</v>
      </c>
      <c r="U30" s="140">
        <v>2251855</v>
      </c>
      <c r="V30" s="140">
        <v>0</v>
      </c>
      <c r="W30" s="140">
        <v>0</v>
      </c>
      <c r="X30" s="131">
        <v>0</v>
      </c>
      <c r="Y30" s="131">
        <v>0</v>
      </c>
      <c r="Z30" s="131">
        <v>0</v>
      </c>
      <c r="AA30" s="140">
        <v>0</v>
      </c>
      <c r="AB30" s="131">
        <v>0</v>
      </c>
      <c r="AC30" s="133">
        <f t="shared" si="6"/>
        <v>238336616</v>
      </c>
      <c r="AD30" s="27">
        <f t="shared" si="7"/>
        <v>0</v>
      </c>
    </row>
    <row r="31" spans="1:30" s="12" customFormat="1" ht="12.75">
      <c r="A31" s="153" t="s">
        <v>119</v>
      </c>
      <c r="B31" s="28" t="s">
        <v>124</v>
      </c>
      <c r="C31" s="131">
        <v>118540249</v>
      </c>
      <c r="D31" s="131">
        <v>0</v>
      </c>
      <c r="E31" s="131">
        <v>95353290</v>
      </c>
      <c r="F31" s="131">
        <v>13187591</v>
      </c>
      <c r="G31" s="140">
        <v>4966034</v>
      </c>
      <c r="H31" s="140">
        <v>1950000</v>
      </c>
      <c r="I31" s="140">
        <v>3083334</v>
      </c>
      <c r="J31" s="140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41">
        <f t="shared" si="5"/>
        <v>118540249</v>
      </c>
      <c r="Q31" s="140">
        <v>0</v>
      </c>
      <c r="R31" s="131">
        <v>93313790</v>
      </c>
      <c r="S31" s="131">
        <v>10326135</v>
      </c>
      <c r="T31" s="140">
        <v>8850324</v>
      </c>
      <c r="U31" s="140">
        <v>2966666</v>
      </c>
      <c r="V31" s="140">
        <v>3083334</v>
      </c>
      <c r="W31" s="140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3">
        <f t="shared" si="6"/>
        <v>118540249</v>
      </c>
      <c r="AD31" s="27">
        <f t="shared" si="7"/>
        <v>0</v>
      </c>
    </row>
    <row r="32" spans="1:30" s="12" customFormat="1" ht="12.75">
      <c r="A32" s="153" t="s">
        <v>142</v>
      </c>
      <c r="B32" s="29" t="s">
        <v>143</v>
      </c>
      <c r="C32" s="131">
        <f>20849268</f>
        <v>20849268</v>
      </c>
      <c r="D32" s="131">
        <v>0</v>
      </c>
      <c r="E32" s="131">
        <v>4849168</v>
      </c>
      <c r="F32" s="131">
        <v>0</v>
      </c>
      <c r="G32" s="140">
        <v>0</v>
      </c>
      <c r="H32" s="140">
        <v>16000100</v>
      </c>
      <c r="I32" s="140">
        <v>0</v>
      </c>
      <c r="J32" s="140">
        <v>0</v>
      </c>
      <c r="K32" s="131">
        <v>0</v>
      </c>
      <c r="L32" s="131">
        <v>0</v>
      </c>
      <c r="M32" s="131">
        <v>0</v>
      </c>
      <c r="N32" s="154">
        <v>0</v>
      </c>
      <c r="O32" s="131">
        <v>0</v>
      </c>
      <c r="P32" s="141">
        <f t="shared" si="5"/>
        <v>20849268</v>
      </c>
      <c r="Q32" s="140">
        <v>0</v>
      </c>
      <c r="R32" s="131">
        <v>4849168</v>
      </c>
      <c r="S32" s="131">
        <v>0</v>
      </c>
      <c r="T32" s="140">
        <v>0</v>
      </c>
      <c r="U32" s="140">
        <v>16000100</v>
      </c>
      <c r="V32" s="140">
        <v>0</v>
      </c>
      <c r="W32" s="140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3">
        <f t="shared" si="6"/>
        <v>20849268</v>
      </c>
      <c r="AD32" s="27">
        <f t="shared" si="7"/>
        <v>0</v>
      </c>
    </row>
    <row r="33" spans="1:30" s="12" customFormat="1" ht="12.75">
      <c r="A33" s="153" t="s">
        <v>137</v>
      </c>
      <c r="B33" s="28" t="s">
        <v>159</v>
      </c>
      <c r="C33" s="131">
        <f>28863241-131153</f>
        <v>28732088</v>
      </c>
      <c r="D33" s="131">
        <v>0</v>
      </c>
      <c r="E33" s="131">
        <v>9399500</v>
      </c>
      <c r="F33" s="131">
        <v>2313867</v>
      </c>
      <c r="G33" s="140">
        <v>0</v>
      </c>
      <c r="H33" s="140">
        <v>17018721</v>
      </c>
      <c r="I33" s="140">
        <v>0</v>
      </c>
      <c r="J33" s="140">
        <v>0</v>
      </c>
      <c r="K33" s="131">
        <v>0</v>
      </c>
      <c r="L33" s="131">
        <v>0</v>
      </c>
      <c r="M33" s="131">
        <v>0</v>
      </c>
      <c r="N33" s="154">
        <v>0</v>
      </c>
      <c r="O33" s="131">
        <v>0</v>
      </c>
      <c r="P33" s="141">
        <f t="shared" si="5"/>
        <v>28732088</v>
      </c>
      <c r="Q33" s="140">
        <v>0</v>
      </c>
      <c r="R33" s="131">
        <v>9399500</v>
      </c>
      <c r="S33" s="131">
        <v>0</v>
      </c>
      <c r="T33" s="140">
        <v>2313867</v>
      </c>
      <c r="U33" s="140">
        <v>17018721</v>
      </c>
      <c r="V33" s="140">
        <v>0</v>
      </c>
      <c r="W33" s="140">
        <v>0</v>
      </c>
      <c r="X33" s="131">
        <v>0</v>
      </c>
      <c r="Y33" s="131">
        <v>0</v>
      </c>
      <c r="Z33" s="131">
        <v>0</v>
      </c>
      <c r="AA33" s="154">
        <v>0</v>
      </c>
      <c r="AB33" s="131">
        <v>0</v>
      </c>
      <c r="AC33" s="133">
        <f t="shared" si="6"/>
        <v>28732088</v>
      </c>
      <c r="AD33" s="27">
        <f t="shared" si="7"/>
        <v>0</v>
      </c>
    </row>
    <row r="34" spans="1:30" s="12" customFormat="1" ht="12.75">
      <c r="A34" s="153" t="s">
        <v>160</v>
      </c>
      <c r="B34" s="28" t="s">
        <v>161</v>
      </c>
      <c r="C34" s="131">
        <v>500000000</v>
      </c>
      <c r="D34" s="131">
        <v>0</v>
      </c>
      <c r="E34" s="131">
        <v>0</v>
      </c>
      <c r="F34" s="131">
        <v>0</v>
      </c>
      <c r="G34" s="140">
        <v>500000000</v>
      </c>
      <c r="H34" s="140">
        <v>0</v>
      </c>
      <c r="I34" s="140">
        <v>0</v>
      </c>
      <c r="J34" s="140">
        <v>0</v>
      </c>
      <c r="K34" s="131">
        <v>0</v>
      </c>
      <c r="L34" s="131">
        <v>0</v>
      </c>
      <c r="M34" s="131">
        <v>0</v>
      </c>
      <c r="N34" s="154">
        <v>0</v>
      </c>
      <c r="O34" s="131">
        <v>0</v>
      </c>
      <c r="P34" s="141">
        <f t="shared" si="5"/>
        <v>500000000</v>
      </c>
      <c r="Q34" s="140">
        <v>0</v>
      </c>
      <c r="R34" s="131">
        <v>0</v>
      </c>
      <c r="S34" s="131">
        <v>0</v>
      </c>
      <c r="T34" s="140">
        <v>500000000</v>
      </c>
      <c r="U34" s="140">
        <v>0</v>
      </c>
      <c r="V34" s="140">
        <v>0</v>
      </c>
      <c r="W34" s="140">
        <v>0</v>
      </c>
      <c r="X34" s="131">
        <v>0</v>
      </c>
      <c r="Y34" s="131">
        <v>0</v>
      </c>
      <c r="Z34" s="131">
        <v>0</v>
      </c>
      <c r="AA34" s="154">
        <v>0</v>
      </c>
      <c r="AB34" s="131">
        <v>0</v>
      </c>
      <c r="AC34" s="133">
        <f t="shared" si="6"/>
        <v>500000000</v>
      </c>
      <c r="AD34" s="27">
        <f t="shared" si="7"/>
        <v>0</v>
      </c>
    </row>
    <row r="35" spans="1:30" s="12" customFormat="1" ht="12.75">
      <c r="A35" s="153" t="s">
        <v>162</v>
      </c>
      <c r="B35" s="28" t="s">
        <v>163</v>
      </c>
      <c r="C35" s="131">
        <f>106876729-1454618</f>
        <v>105422111</v>
      </c>
      <c r="D35" s="131">
        <v>0</v>
      </c>
      <c r="E35" s="131">
        <v>8640000</v>
      </c>
      <c r="F35" s="131">
        <v>7222000</v>
      </c>
      <c r="G35" s="140">
        <v>50416924</v>
      </c>
      <c r="H35" s="140">
        <v>38403187</v>
      </c>
      <c r="I35" s="140">
        <v>740000</v>
      </c>
      <c r="J35" s="140">
        <v>0</v>
      </c>
      <c r="K35" s="131">
        <v>0</v>
      </c>
      <c r="L35" s="131">
        <v>0</v>
      </c>
      <c r="M35" s="131">
        <v>0</v>
      </c>
      <c r="N35" s="154">
        <v>0</v>
      </c>
      <c r="O35" s="131">
        <v>0</v>
      </c>
      <c r="P35" s="141">
        <f t="shared" si="5"/>
        <v>105422111</v>
      </c>
      <c r="Q35" s="140">
        <v>0</v>
      </c>
      <c r="R35" s="131">
        <v>6634000</v>
      </c>
      <c r="S35" s="131">
        <v>9228000</v>
      </c>
      <c r="T35" s="140">
        <v>50416924</v>
      </c>
      <c r="U35" s="140">
        <v>37663187</v>
      </c>
      <c r="V35" s="140">
        <v>1480000</v>
      </c>
      <c r="W35" s="140">
        <v>0</v>
      </c>
      <c r="X35" s="131">
        <v>0</v>
      </c>
      <c r="Y35" s="131">
        <v>0</v>
      </c>
      <c r="Z35" s="131">
        <v>0</v>
      </c>
      <c r="AA35" s="154">
        <v>0</v>
      </c>
      <c r="AB35" s="131">
        <v>0</v>
      </c>
      <c r="AC35" s="133">
        <f t="shared" si="6"/>
        <v>105422111</v>
      </c>
      <c r="AD35" s="27">
        <f t="shared" si="7"/>
        <v>0</v>
      </c>
    </row>
    <row r="36" spans="1:30" s="12" customFormat="1" ht="12.75">
      <c r="A36" s="153" t="s">
        <v>120</v>
      </c>
      <c r="B36" s="28" t="s">
        <v>69</v>
      </c>
      <c r="C36" s="131">
        <v>17267247</v>
      </c>
      <c r="D36" s="131">
        <v>0</v>
      </c>
      <c r="E36" s="131">
        <v>16979969</v>
      </c>
      <c r="F36" s="131">
        <v>0</v>
      </c>
      <c r="G36" s="140">
        <v>287278</v>
      </c>
      <c r="H36" s="140">
        <v>0</v>
      </c>
      <c r="I36" s="140">
        <v>0</v>
      </c>
      <c r="J36" s="140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41">
        <f t="shared" si="5"/>
        <v>17267247</v>
      </c>
      <c r="Q36" s="140">
        <v>0</v>
      </c>
      <c r="R36" s="131">
        <v>15913969</v>
      </c>
      <c r="S36" s="131">
        <v>1066000</v>
      </c>
      <c r="T36" s="140">
        <v>0</v>
      </c>
      <c r="U36" s="140">
        <v>287278</v>
      </c>
      <c r="V36" s="140">
        <v>0</v>
      </c>
      <c r="W36" s="140">
        <v>0</v>
      </c>
      <c r="X36" s="131">
        <v>0</v>
      </c>
      <c r="Y36" s="131">
        <v>0</v>
      </c>
      <c r="Z36" s="131">
        <v>0</v>
      </c>
      <c r="AA36" s="154">
        <v>0</v>
      </c>
      <c r="AB36" s="131">
        <v>0</v>
      </c>
      <c r="AC36" s="133">
        <f t="shared" si="6"/>
        <v>17267247</v>
      </c>
      <c r="AD36" s="27">
        <f t="shared" si="7"/>
        <v>0</v>
      </c>
    </row>
    <row r="37" spans="1:30" s="12" customFormat="1" ht="12.75">
      <c r="A37" s="153" t="s">
        <v>133</v>
      </c>
      <c r="B37" s="28" t="s">
        <v>70</v>
      </c>
      <c r="C37" s="131">
        <f>479322442-1117957-2666622</f>
        <v>475537863</v>
      </c>
      <c r="D37" s="131">
        <v>15187020</v>
      </c>
      <c r="E37" s="131">
        <v>193004732</v>
      </c>
      <c r="F37" s="131">
        <v>44113390</v>
      </c>
      <c r="G37" s="140">
        <v>129325888</v>
      </c>
      <c r="H37" s="140">
        <v>84254088</v>
      </c>
      <c r="I37" s="140">
        <v>4314832</v>
      </c>
      <c r="J37" s="140">
        <v>5165268</v>
      </c>
      <c r="K37" s="131">
        <v>0</v>
      </c>
      <c r="L37" s="131">
        <v>96645</v>
      </c>
      <c r="M37" s="131">
        <v>76000</v>
      </c>
      <c r="N37" s="131">
        <v>0</v>
      </c>
      <c r="O37" s="131">
        <v>0</v>
      </c>
      <c r="P37" s="141">
        <f t="shared" si="5"/>
        <v>475537863</v>
      </c>
      <c r="Q37" s="140">
        <v>0</v>
      </c>
      <c r="R37" s="131">
        <v>184209846</v>
      </c>
      <c r="S37" s="131">
        <v>52318126</v>
      </c>
      <c r="T37" s="140">
        <v>144203058</v>
      </c>
      <c r="U37" s="140">
        <v>84777734</v>
      </c>
      <c r="V37" s="140">
        <v>4691186</v>
      </c>
      <c r="W37" s="140">
        <v>5165268</v>
      </c>
      <c r="X37" s="131">
        <v>0</v>
      </c>
      <c r="Y37" s="131">
        <v>96645</v>
      </c>
      <c r="Z37" s="131">
        <v>76000</v>
      </c>
      <c r="AA37" s="131">
        <v>0</v>
      </c>
      <c r="AB37" s="131">
        <v>0</v>
      </c>
      <c r="AC37" s="133">
        <f t="shared" si="6"/>
        <v>475537863</v>
      </c>
      <c r="AD37" s="27">
        <f t="shared" si="7"/>
        <v>0</v>
      </c>
    </row>
    <row r="38" spans="1:30" s="12" customFormat="1" ht="12.75">
      <c r="A38" s="153" t="s">
        <v>164</v>
      </c>
      <c r="B38" s="28" t="s">
        <v>165</v>
      </c>
      <c r="C38" s="131">
        <v>123696765</v>
      </c>
      <c r="D38" s="131">
        <v>0</v>
      </c>
      <c r="E38" s="131">
        <v>16899000</v>
      </c>
      <c r="F38" s="131">
        <v>1650000</v>
      </c>
      <c r="G38" s="140">
        <v>0</v>
      </c>
      <c r="H38" s="140">
        <v>105147765</v>
      </c>
      <c r="I38" s="140">
        <v>0</v>
      </c>
      <c r="J38" s="140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41">
        <f t="shared" si="5"/>
        <v>123696765</v>
      </c>
      <c r="Q38" s="140">
        <v>0</v>
      </c>
      <c r="R38" s="131">
        <v>10911000</v>
      </c>
      <c r="S38" s="131">
        <v>7638000</v>
      </c>
      <c r="T38" s="140">
        <v>0</v>
      </c>
      <c r="U38" s="140">
        <v>105147765</v>
      </c>
      <c r="V38" s="140">
        <v>0</v>
      </c>
      <c r="W38" s="140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3">
        <f t="shared" si="6"/>
        <v>123696765</v>
      </c>
      <c r="AD38" s="27">
        <f t="shared" si="7"/>
        <v>0</v>
      </c>
    </row>
    <row r="39" spans="1:30" s="12" customFormat="1" ht="12.75">
      <c r="A39" s="153" t="s">
        <v>134</v>
      </c>
      <c r="B39" s="28" t="s">
        <v>135</v>
      </c>
      <c r="C39" s="131">
        <f>576313134-1708800</f>
        <v>574604334</v>
      </c>
      <c r="D39" s="131">
        <v>2848106</v>
      </c>
      <c r="E39" s="131">
        <v>154183965</v>
      </c>
      <c r="F39" s="131">
        <v>93923973</v>
      </c>
      <c r="G39" s="140">
        <v>8392848</v>
      </c>
      <c r="H39" s="140">
        <v>315255442</v>
      </c>
      <c r="I39" s="140">
        <v>0</v>
      </c>
      <c r="J39" s="140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41">
        <f t="shared" si="5"/>
        <v>574604334</v>
      </c>
      <c r="Q39" s="140">
        <v>0</v>
      </c>
      <c r="R39" s="131">
        <v>139920119</v>
      </c>
      <c r="S39" s="131">
        <v>109233797</v>
      </c>
      <c r="T39" s="140">
        <v>9377857</v>
      </c>
      <c r="U39" s="140">
        <v>314012915</v>
      </c>
      <c r="V39" s="140">
        <v>2059646</v>
      </c>
      <c r="W39" s="140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3">
        <f t="shared" si="6"/>
        <v>574604334</v>
      </c>
      <c r="AD39" s="27">
        <f t="shared" si="7"/>
        <v>0</v>
      </c>
    </row>
    <row r="40" spans="1:30" s="12" customFormat="1" ht="12.75">
      <c r="A40" s="155" t="s">
        <v>145</v>
      </c>
      <c r="B40" s="90" t="s">
        <v>146</v>
      </c>
      <c r="C40" s="131">
        <f>116683413-1786580</f>
        <v>114896833</v>
      </c>
      <c r="D40" s="131">
        <v>0</v>
      </c>
      <c r="E40" s="131">
        <v>23159337</v>
      </c>
      <c r="F40" s="131">
        <v>14917896</v>
      </c>
      <c r="G40" s="140">
        <v>7077610</v>
      </c>
      <c r="H40" s="140">
        <v>0</v>
      </c>
      <c r="I40" s="134">
        <v>0</v>
      </c>
      <c r="J40" s="140">
        <v>13924447</v>
      </c>
      <c r="K40" s="132">
        <v>0</v>
      </c>
      <c r="L40" s="131">
        <v>55817543</v>
      </c>
      <c r="M40" s="131">
        <v>0</v>
      </c>
      <c r="N40" s="131">
        <v>0</v>
      </c>
      <c r="O40" s="131">
        <v>0</v>
      </c>
      <c r="P40" s="141">
        <f t="shared" si="5"/>
        <v>114896833</v>
      </c>
      <c r="Q40" s="140">
        <v>0</v>
      </c>
      <c r="R40" s="131">
        <v>18224281</v>
      </c>
      <c r="S40" s="131">
        <v>19852952</v>
      </c>
      <c r="T40" s="140">
        <v>7077610</v>
      </c>
      <c r="U40" s="140">
        <v>0</v>
      </c>
      <c r="V40" s="134">
        <v>0</v>
      </c>
      <c r="W40" s="140">
        <v>13924447</v>
      </c>
      <c r="X40" s="132">
        <v>0</v>
      </c>
      <c r="Y40" s="131">
        <v>55817543</v>
      </c>
      <c r="Z40" s="131">
        <v>0</v>
      </c>
      <c r="AA40" s="131">
        <v>0</v>
      </c>
      <c r="AB40" s="131">
        <v>0</v>
      </c>
      <c r="AC40" s="133">
        <f t="shared" si="6"/>
        <v>114896833</v>
      </c>
      <c r="AD40" s="27">
        <f t="shared" si="7"/>
        <v>0</v>
      </c>
    </row>
    <row r="41" spans="1:30" s="12" customFormat="1" ht="12.75">
      <c r="A41" s="155" t="s">
        <v>166</v>
      </c>
      <c r="B41" s="90" t="s">
        <v>167</v>
      </c>
      <c r="C41" s="131">
        <v>96896938</v>
      </c>
      <c r="D41" s="131">
        <v>0</v>
      </c>
      <c r="E41" s="131">
        <v>14597500</v>
      </c>
      <c r="F41" s="131">
        <v>10880000</v>
      </c>
      <c r="G41" s="140">
        <v>740000</v>
      </c>
      <c r="H41" s="140">
        <v>2500000</v>
      </c>
      <c r="I41" s="134">
        <v>0</v>
      </c>
      <c r="J41" s="140">
        <v>0</v>
      </c>
      <c r="K41" s="132">
        <v>0</v>
      </c>
      <c r="L41" s="131">
        <v>68179438</v>
      </c>
      <c r="M41" s="131">
        <v>0</v>
      </c>
      <c r="N41" s="131">
        <v>0</v>
      </c>
      <c r="O41" s="131">
        <v>0</v>
      </c>
      <c r="P41" s="141">
        <f t="shared" si="5"/>
        <v>96896938</v>
      </c>
      <c r="Q41" s="140">
        <v>0</v>
      </c>
      <c r="R41" s="131">
        <v>13660000</v>
      </c>
      <c r="S41" s="131">
        <v>10317500</v>
      </c>
      <c r="T41" s="140">
        <v>2240000</v>
      </c>
      <c r="U41" s="140">
        <v>2500000</v>
      </c>
      <c r="V41" s="134">
        <v>0</v>
      </c>
      <c r="W41" s="140">
        <v>0</v>
      </c>
      <c r="X41" s="132">
        <v>0</v>
      </c>
      <c r="Y41" s="131">
        <v>68179438</v>
      </c>
      <c r="Z41" s="131">
        <v>0</v>
      </c>
      <c r="AA41" s="131">
        <v>0</v>
      </c>
      <c r="AB41" s="131">
        <v>0</v>
      </c>
      <c r="AC41" s="133">
        <f t="shared" si="6"/>
        <v>96896938</v>
      </c>
      <c r="AD41" s="27">
        <f t="shared" si="7"/>
        <v>0</v>
      </c>
    </row>
    <row r="42" spans="1:30" s="12" customFormat="1" ht="12.75">
      <c r="A42" s="188" t="s">
        <v>121</v>
      </c>
      <c r="B42" s="90" t="s">
        <v>122</v>
      </c>
      <c r="C42" s="131">
        <v>134888790</v>
      </c>
      <c r="D42" s="131">
        <v>0</v>
      </c>
      <c r="E42" s="131">
        <v>20974425</v>
      </c>
      <c r="F42" s="131">
        <v>2560848</v>
      </c>
      <c r="G42" s="140">
        <v>3423100</v>
      </c>
      <c r="H42" s="140">
        <v>73285571</v>
      </c>
      <c r="I42" s="189">
        <v>0</v>
      </c>
      <c r="J42" s="140">
        <v>34644846</v>
      </c>
      <c r="K42" s="132">
        <v>0</v>
      </c>
      <c r="L42" s="132">
        <v>0</v>
      </c>
      <c r="M42" s="131">
        <v>0</v>
      </c>
      <c r="N42" s="131">
        <v>0</v>
      </c>
      <c r="O42" s="131">
        <v>0</v>
      </c>
      <c r="P42" s="141">
        <f t="shared" si="5"/>
        <v>134888790</v>
      </c>
      <c r="Q42" s="131">
        <v>0</v>
      </c>
      <c r="R42" s="131">
        <v>15749975</v>
      </c>
      <c r="S42" s="131">
        <v>7785298</v>
      </c>
      <c r="T42" s="140">
        <v>3423100</v>
      </c>
      <c r="U42" s="140">
        <v>73285571</v>
      </c>
      <c r="V42" s="189">
        <v>0</v>
      </c>
      <c r="W42" s="140">
        <v>34644846</v>
      </c>
      <c r="X42" s="132">
        <v>0</v>
      </c>
      <c r="Y42" s="132">
        <v>0</v>
      </c>
      <c r="Z42" s="131">
        <v>0</v>
      </c>
      <c r="AA42" s="131">
        <v>0</v>
      </c>
      <c r="AB42" s="131">
        <v>0</v>
      </c>
      <c r="AC42" s="133">
        <f t="shared" si="6"/>
        <v>134888790</v>
      </c>
      <c r="AD42" s="27">
        <f t="shared" si="7"/>
        <v>0</v>
      </c>
    </row>
    <row r="43" spans="1:30" s="12" customFormat="1" ht="15" customHeight="1">
      <c r="A43" s="188" t="s">
        <v>123</v>
      </c>
      <c r="B43" s="28" t="s">
        <v>147</v>
      </c>
      <c r="C43" s="131">
        <f>125532662-421957</f>
        <v>125110705</v>
      </c>
      <c r="D43" s="131">
        <v>487801</v>
      </c>
      <c r="E43" s="131">
        <v>21928308</v>
      </c>
      <c r="F43" s="131">
        <v>13600304</v>
      </c>
      <c r="G43" s="140">
        <v>3489835</v>
      </c>
      <c r="H43" s="140">
        <v>109910</v>
      </c>
      <c r="I43" s="189">
        <v>0</v>
      </c>
      <c r="J43" s="140">
        <v>85494547</v>
      </c>
      <c r="K43" s="132">
        <v>0</v>
      </c>
      <c r="L43" s="132">
        <v>0</v>
      </c>
      <c r="M43" s="131">
        <v>0</v>
      </c>
      <c r="N43" s="131">
        <v>0</v>
      </c>
      <c r="O43" s="131">
        <v>0</v>
      </c>
      <c r="P43" s="141">
        <f t="shared" si="5"/>
        <v>125110705</v>
      </c>
      <c r="Q43" s="131">
        <v>0</v>
      </c>
      <c r="R43" s="131">
        <v>18258726</v>
      </c>
      <c r="S43" s="131">
        <v>17757687</v>
      </c>
      <c r="T43" s="140">
        <v>3126954</v>
      </c>
      <c r="U43" s="140">
        <v>472791</v>
      </c>
      <c r="V43" s="189">
        <v>0</v>
      </c>
      <c r="W43" s="140">
        <v>85494547</v>
      </c>
      <c r="X43" s="132">
        <v>0</v>
      </c>
      <c r="Y43" s="132">
        <v>0</v>
      </c>
      <c r="Z43" s="131">
        <v>0</v>
      </c>
      <c r="AA43" s="131">
        <v>0</v>
      </c>
      <c r="AB43" s="131">
        <v>0</v>
      </c>
      <c r="AC43" s="133">
        <f t="shared" si="6"/>
        <v>125110705</v>
      </c>
      <c r="AD43" s="27">
        <f t="shared" si="7"/>
        <v>0</v>
      </c>
    </row>
    <row r="44" spans="1:30" s="12" customFormat="1" ht="15" customHeight="1">
      <c r="A44" s="188" t="s">
        <v>174</v>
      </c>
      <c r="B44" s="29" t="s">
        <v>168</v>
      </c>
      <c r="C44" s="131">
        <f>206323146-1166667-24000000</f>
        <v>181156479</v>
      </c>
      <c r="D44" s="131">
        <v>0</v>
      </c>
      <c r="E44" s="131">
        <v>32770167</v>
      </c>
      <c r="F44" s="131">
        <v>10159200</v>
      </c>
      <c r="G44" s="140">
        <v>17233333</v>
      </c>
      <c r="H44" s="140">
        <v>13109009</v>
      </c>
      <c r="I44" s="134">
        <v>9874735</v>
      </c>
      <c r="J44" s="140">
        <v>4000000</v>
      </c>
      <c r="K44" s="132">
        <v>4000000</v>
      </c>
      <c r="L44" s="154">
        <v>86010035</v>
      </c>
      <c r="M44" s="131">
        <v>4000000</v>
      </c>
      <c r="N44" s="131">
        <v>0</v>
      </c>
      <c r="O44" s="131">
        <v>0</v>
      </c>
      <c r="P44" s="132">
        <f t="shared" si="5"/>
        <v>181156479</v>
      </c>
      <c r="Q44" s="131">
        <v>0</v>
      </c>
      <c r="R44" s="131">
        <v>31270167</v>
      </c>
      <c r="S44" s="131">
        <v>11659200</v>
      </c>
      <c r="T44" s="140">
        <v>17233333</v>
      </c>
      <c r="U44" s="140">
        <v>13109009</v>
      </c>
      <c r="V44" s="134">
        <v>9874735</v>
      </c>
      <c r="W44" s="140">
        <v>4000000</v>
      </c>
      <c r="X44" s="132">
        <v>4000000</v>
      </c>
      <c r="Y44" s="154">
        <v>86010035</v>
      </c>
      <c r="Z44" s="131">
        <v>4000000</v>
      </c>
      <c r="AA44" s="131">
        <v>0</v>
      </c>
      <c r="AB44" s="131">
        <v>0</v>
      </c>
      <c r="AC44" s="133">
        <f t="shared" si="6"/>
        <v>181156479</v>
      </c>
      <c r="AD44" s="27">
        <f t="shared" si="7"/>
        <v>0</v>
      </c>
    </row>
    <row r="45" spans="1:30" s="12" customFormat="1" ht="15" customHeight="1" thickBot="1">
      <c r="A45" s="188" t="s">
        <v>170</v>
      </c>
      <c r="B45" s="29" t="s">
        <v>171</v>
      </c>
      <c r="C45" s="134">
        <f>798486000-116307814.26</f>
        <v>682178185.74</v>
      </c>
      <c r="D45" s="131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166023386.5</v>
      </c>
      <c r="J45" s="134">
        <v>0</v>
      </c>
      <c r="K45" s="135">
        <v>140765501</v>
      </c>
      <c r="L45" s="154">
        <v>132730252.44</v>
      </c>
      <c r="M45" s="134">
        <v>0</v>
      </c>
      <c r="N45" s="134">
        <v>0</v>
      </c>
      <c r="O45" s="131">
        <v>242659045.8</v>
      </c>
      <c r="P45" s="132">
        <f t="shared" si="5"/>
        <v>682178185.74</v>
      </c>
      <c r="Q45" s="131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166023386.5</v>
      </c>
      <c r="W45" s="134">
        <v>0</v>
      </c>
      <c r="X45" s="135">
        <v>0</v>
      </c>
      <c r="Y45" s="154">
        <v>140765501</v>
      </c>
      <c r="Z45" s="134">
        <v>132730252.44</v>
      </c>
      <c r="AA45" s="131">
        <v>0</v>
      </c>
      <c r="AB45" s="131">
        <v>242659045.8</v>
      </c>
      <c r="AC45" s="133">
        <f t="shared" si="6"/>
        <v>682178185.74</v>
      </c>
      <c r="AD45" s="27">
        <f t="shared" si="7"/>
        <v>0</v>
      </c>
    </row>
    <row r="46" spans="1:30" s="13" customFormat="1" ht="13.5" thickBot="1">
      <c r="A46" s="281" t="s">
        <v>50</v>
      </c>
      <c r="B46" s="282"/>
      <c r="C46" s="137">
        <f aca="true" t="shared" si="8" ref="C46:AC46">SUM(C15+C17+C20+C24)</f>
        <v>23811541792.4</v>
      </c>
      <c r="D46" s="137">
        <f t="shared" si="8"/>
        <v>22329869</v>
      </c>
      <c r="E46" s="137">
        <f t="shared" si="8"/>
        <v>3888679543</v>
      </c>
      <c r="F46" s="137">
        <f t="shared" si="8"/>
        <v>10475189031.66</v>
      </c>
      <c r="G46" s="137">
        <f t="shared" si="8"/>
        <v>1615934948</v>
      </c>
      <c r="H46" s="137">
        <f t="shared" si="8"/>
        <v>1154266163</v>
      </c>
      <c r="I46" s="137">
        <f t="shared" si="8"/>
        <v>3348805038.5</v>
      </c>
      <c r="J46" s="137">
        <f t="shared" si="8"/>
        <v>2514295683</v>
      </c>
      <c r="K46" s="137">
        <f t="shared" si="8"/>
        <v>171675637</v>
      </c>
      <c r="L46" s="137">
        <f t="shared" si="8"/>
        <v>368895902.44</v>
      </c>
      <c r="M46" s="137">
        <f t="shared" si="8"/>
        <v>5560931</v>
      </c>
      <c r="N46" s="137">
        <f t="shared" si="8"/>
        <v>0</v>
      </c>
      <c r="O46" s="137">
        <f t="shared" si="8"/>
        <v>245909045.8</v>
      </c>
      <c r="P46" s="137">
        <f t="shared" si="8"/>
        <v>23811541792.4</v>
      </c>
      <c r="Q46" s="137">
        <f t="shared" si="8"/>
        <v>0</v>
      </c>
      <c r="R46" s="137">
        <f t="shared" si="8"/>
        <v>1301292627</v>
      </c>
      <c r="S46" s="137">
        <f t="shared" si="8"/>
        <v>12353692828.66</v>
      </c>
      <c r="T46" s="137">
        <f t="shared" si="8"/>
        <v>2323331305</v>
      </c>
      <c r="U46" s="137">
        <f t="shared" si="8"/>
        <v>1153661122</v>
      </c>
      <c r="V46" s="137">
        <f t="shared" si="8"/>
        <v>3367899286.5</v>
      </c>
      <c r="W46" s="137">
        <f t="shared" si="8"/>
        <v>2511454483</v>
      </c>
      <c r="X46" s="137">
        <f t="shared" si="8"/>
        <v>39078760</v>
      </c>
      <c r="Y46" s="137">
        <f t="shared" si="8"/>
        <v>365214762</v>
      </c>
      <c r="Z46" s="137">
        <f t="shared" si="8"/>
        <v>150007572.44</v>
      </c>
      <c r="AA46" s="137">
        <v>0</v>
      </c>
      <c r="AB46" s="137">
        <f t="shared" si="8"/>
        <v>245909045.8</v>
      </c>
      <c r="AC46" s="125">
        <f t="shared" si="8"/>
        <v>23811541792.4</v>
      </c>
      <c r="AD46" s="156">
        <f>SUM(AD15+AD17+AD24)</f>
        <v>0</v>
      </c>
    </row>
    <row r="47" spans="1:29" ht="12.75">
      <c r="A47" s="191" t="s">
        <v>279</v>
      </c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1"/>
    </row>
    <row r="48" spans="1:29" ht="12.75">
      <c r="A48" s="161" t="s">
        <v>296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</row>
    <row r="49" spans="1:29" ht="12.75">
      <c r="A49" s="161"/>
      <c r="B49" s="16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</row>
    <row r="50" spans="1:29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</row>
    <row r="51" spans="1:29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</row>
    <row r="52" spans="1:29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</row>
    <row r="53" spans="1:29" ht="15.75" thickBot="1">
      <c r="A53" s="4"/>
      <c r="B53" s="8"/>
      <c r="C53" s="3"/>
      <c r="D53" s="5"/>
      <c r="E53" s="5"/>
      <c r="F53" s="5"/>
      <c r="G53" s="5"/>
      <c r="H53" s="5"/>
      <c r="I53" s="5"/>
      <c r="J53" s="5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8"/>
      <c r="Y53" s="5"/>
      <c r="Z53" s="5"/>
      <c r="AA53" s="5"/>
      <c r="AB53" s="5"/>
      <c r="AC53" s="6"/>
    </row>
    <row r="54" spans="1:29" ht="15" customHeight="1">
      <c r="A54" s="4"/>
      <c r="B54" s="81" t="s">
        <v>175</v>
      </c>
      <c r="C54" s="5"/>
      <c r="D54" s="5"/>
      <c r="E54" s="5"/>
      <c r="F54" s="5"/>
      <c r="G54" s="5"/>
      <c r="H54" s="5"/>
      <c r="I54" s="5"/>
      <c r="J54" s="5"/>
      <c r="K54" s="278" t="s">
        <v>136</v>
      </c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5"/>
      <c r="Z54" s="5"/>
      <c r="AA54" s="5"/>
      <c r="AB54" s="5"/>
      <c r="AC54" s="6"/>
    </row>
    <row r="55" spans="1:29" ht="0.75" customHeight="1" thickBot="1">
      <c r="A55" s="9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</row>
  </sheetData>
  <mergeCells count="10">
    <mergeCell ref="A5:AC5"/>
    <mergeCell ref="A4:AC4"/>
    <mergeCell ref="A1:AC1"/>
    <mergeCell ref="A2:AC2"/>
    <mergeCell ref="A3:AC3"/>
    <mergeCell ref="K54:X54"/>
    <mergeCell ref="A7:B7"/>
    <mergeCell ref="A8:B8"/>
    <mergeCell ref="A46:B46"/>
    <mergeCell ref="K53:W5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workbookViewId="0" topLeftCell="A10">
      <pane ySplit="990" topLeftCell="BM29" activePane="bottomLeft" state="split"/>
      <selection pane="topLeft" activeCell="K10" sqref="K1:N16384"/>
      <selection pane="bottomLeft" activeCell="Q18" sqref="Q18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22.14062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customWidth="1"/>
    <col min="16" max="16" width="20.28125" style="1" customWidth="1"/>
    <col min="17" max="17" width="20.00390625" style="1" customWidth="1"/>
    <col min="18" max="16384" width="11.421875" style="1" customWidth="1"/>
  </cols>
  <sheetData>
    <row r="1" spans="1:16" s="109" customFormat="1" ht="15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</row>
    <row r="2" spans="1:16" s="109" customFormat="1" ht="15">
      <c r="A2" s="284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1:16" s="109" customFormat="1" ht="15">
      <c r="A3" s="284" t="s">
        <v>51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</row>
    <row r="4" spans="1:16" s="109" customFormat="1" ht="15">
      <c r="A4" s="284" t="s">
        <v>56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</row>
    <row r="5" spans="1:16" s="109" customFormat="1" ht="15">
      <c r="A5" s="284" t="s">
        <v>58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6"/>
    </row>
    <row r="6" spans="1:16" s="109" customFormat="1" ht="14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1:16" s="109" customFormat="1" ht="15">
      <c r="A7" s="279" t="s">
        <v>4</v>
      </c>
      <c r="B7" s="280"/>
      <c r="C7" s="114" t="s">
        <v>59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6" t="s">
        <v>288</v>
      </c>
    </row>
    <row r="8" spans="1:16" s="109" customFormat="1" ht="15" customHeight="1" thickBot="1">
      <c r="A8" s="279" t="s">
        <v>5</v>
      </c>
      <c r="B8" s="280"/>
      <c r="C8" s="110" t="s">
        <v>57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7">
        <v>2006</v>
      </c>
    </row>
    <row r="9" spans="1:16" s="109" customFormat="1" ht="15" hidden="1" thickBo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</row>
    <row r="10" spans="1:16" s="109" customFormat="1" ht="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</row>
    <row r="11" spans="1:16" s="109" customFormat="1" ht="15">
      <c r="A11" s="174" t="s">
        <v>40</v>
      </c>
      <c r="B11" s="174" t="s">
        <v>42</v>
      </c>
      <c r="C11" s="174" t="s">
        <v>43</v>
      </c>
      <c r="D11" s="174" t="s">
        <v>46</v>
      </c>
      <c r="E11" s="174" t="s">
        <v>46</v>
      </c>
      <c r="F11" s="174" t="s">
        <v>46</v>
      </c>
      <c r="G11" s="174" t="s">
        <v>46</v>
      </c>
      <c r="H11" s="174" t="s">
        <v>46</v>
      </c>
      <c r="I11" s="174" t="s">
        <v>46</v>
      </c>
      <c r="J11" s="174" t="s">
        <v>46</v>
      </c>
      <c r="K11" s="174" t="s">
        <v>46</v>
      </c>
      <c r="L11" s="174" t="s">
        <v>46</v>
      </c>
      <c r="M11" s="174" t="s">
        <v>46</v>
      </c>
      <c r="N11" s="174" t="s">
        <v>46</v>
      </c>
      <c r="O11" s="174" t="s">
        <v>46</v>
      </c>
      <c r="P11" s="174" t="s">
        <v>46</v>
      </c>
    </row>
    <row r="12" spans="1:16" s="109" customFormat="1" ht="15.75" thickBot="1">
      <c r="A12" s="175" t="s">
        <v>41</v>
      </c>
      <c r="B12" s="175"/>
      <c r="C12" s="175" t="s">
        <v>12</v>
      </c>
      <c r="D12" s="175" t="s">
        <v>13</v>
      </c>
      <c r="E12" s="175" t="s">
        <v>14</v>
      </c>
      <c r="F12" s="175" t="s">
        <v>15</v>
      </c>
      <c r="G12" s="175" t="s">
        <v>16</v>
      </c>
      <c r="H12" s="175" t="s">
        <v>28</v>
      </c>
      <c r="I12" s="175" t="s">
        <v>29</v>
      </c>
      <c r="J12" s="175" t="s">
        <v>30</v>
      </c>
      <c r="K12" s="175" t="s">
        <v>31</v>
      </c>
      <c r="L12" s="175" t="s">
        <v>21</v>
      </c>
      <c r="M12" s="175" t="s">
        <v>31</v>
      </c>
      <c r="N12" s="175" t="s">
        <v>23</v>
      </c>
      <c r="O12" s="175" t="s">
        <v>24</v>
      </c>
      <c r="P12" s="175" t="s">
        <v>25</v>
      </c>
    </row>
    <row r="13" spans="1:17" s="109" customFormat="1" ht="15.75" thickBot="1">
      <c r="A13" s="176">
        <v>1</v>
      </c>
      <c r="B13" s="176">
        <v>2</v>
      </c>
      <c r="C13" s="176"/>
      <c r="D13" s="176">
        <v>7</v>
      </c>
      <c r="E13" s="176">
        <v>7</v>
      </c>
      <c r="F13" s="176">
        <v>7</v>
      </c>
      <c r="G13" s="176">
        <v>7</v>
      </c>
      <c r="H13" s="176">
        <v>7</v>
      </c>
      <c r="I13" s="176">
        <v>7</v>
      </c>
      <c r="J13" s="176">
        <v>7</v>
      </c>
      <c r="K13" s="176">
        <v>7</v>
      </c>
      <c r="L13" s="176">
        <v>7</v>
      </c>
      <c r="M13" s="176">
        <v>7</v>
      </c>
      <c r="N13" s="176">
        <v>7</v>
      </c>
      <c r="O13" s="176">
        <v>7</v>
      </c>
      <c r="P13" s="176">
        <v>8</v>
      </c>
      <c r="Q13" s="121" t="s">
        <v>271</v>
      </c>
    </row>
    <row r="14" spans="1:17" s="34" customFormat="1" ht="13.5" thickBot="1">
      <c r="A14" s="122"/>
      <c r="B14" s="123" t="s">
        <v>111</v>
      </c>
      <c r="C14" s="124">
        <f aca="true" t="shared" si="0" ref="C14:P14">SUM(C15,C20,C23)</f>
        <v>179150930.89</v>
      </c>
      <c r="D14" s="124">
        <f t="shared" si="0"/>
        <v>130068531.89</v>
      </c>
      <c r="E14" s="124">
        <f t="shared" si="0"/>
        <v>29560524</v>
      </c>
      <c r="F14" s="124">
        <f t="shared" si="0"/>
        <v>18617376</v>
      </c>
      <c r="G14" s="124">
        <f t="shared" si="0"/>
        <v>904499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25">
        <f t="shared" si="0"/>
        <v>179150930.89</v>
      </c>
      <c r="Q14" s="126">
        <f>SUM(Q15,Q20)</f>
        <v>0</v>
      </c>
    </row>
    <row r="15" spans="1:17" s="34" customFormat="1" ht="12.75">
      <c r="A15" s="122"/>
      <c r="B15" s="123" t="s">
        <v>84</v>
      </c>
      <c r="C15" s="124">
        <f aca="true" t="shared" si="1" ref="C15:Q15">SUM(C16:C19)</f>
        <v>116268457</v>
      </c>
      <c r="D15" s="124">
        <f t="shared" si="1"/>
        <v>116268457</v>
      </c>
      <c r="E15" s="124">
        <f t="shared" si="1"/>
        <v>0</v>
      </c>
      <c r="F15" s="124">
        <f t="shared" si="1"/>
        <v>0</v>
      </c>
      <c r="G15" s="124">
        <f t="shared" si="1"/>
        <v>0</v>
      </c>
      <c r="H15" s="124">
        <f t="shared" si="1"/>
        <v>0</v>
      </c>
      <c r="I15" s="124">
        <f t="shared" si="1"/>
        <v>0</v>
      </c>
      <c r="J15" s="124">
        <f t="shared" si="1"/>
        <v>0</v>
      </c>
      <c r="K15" s="124">
        <f t="shared" si="1"/>
        <v>0</v>
      </c>
      <c r="L15" s="124">
        <f t="shared" si="1"/>
        <v>0</v>
      </c>
      <c r="M15" s="124">
        <f t="shared" si="1"/>
        <v>0</v>
      </c>
      <c r="N15" s="124">
        <f t="shared" si="1"/>
        <v>0</v>
      </c>
      <c r="O15" s="124">
        <f t="shared" si="1"/>
        <v>0</v>
      </c>
      <c r="P15" s="235">
        <f t="shared" si="1"/>
        <v>116268457</v>
      </c>
      <c r="Q15" s="126">
        <f t="shared" si="1"/>
        <v>0</v>
      </c>
    </row>
    <row r="16" spans="1:17" s="27" customFormat="1" ht="12.75">
      <c r="A16" s="51" t="s">
        <v>71</v>
      </c>
      <c r="B16" s="130" t="s">
        <v>72</v>
      </c>
      <c r="C16" s="131">
        <v>5953623</v>
      </c>
      <c r="D16" s="131">
        <v>5953623</v>
      </c>
      <c r="E16" s="132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/>
      <c r="M16" s="131"/>
      <c r="N16" s="131"/>
      <c r="O16" s="131">
        <v>0</v>
      </c>
      <c r="P16" s="133">
        <f>SUM(D16:O16)</f>
        <v>5953623</v>
      </c>
      <c r="Q16" s="27">
        <f>SUM(C16-P16)</f>
        <v>0</v>
      </c>
    </row>
    <row r="17" spans="1:17" s="27" customFormat="1" ht="12.75">
      <c r="A17" s="51" t="s">
        <v>151</v>
      </c>
      <c r="B17" s="130" t="s">
        <v>152</v>
      </c>
      <c r="C17" s="131">
        <v>7993589</v>
      </c>
      <c r="D17" s="131">
        <v>7993589</v>
      </c>
      <c r="E17" s="132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/>
      <c r="M17" s="131"/>
      <c r="N17" s="131"/>
      <c r="O17" s="131">
        <v>0</v>
      </c>
      <c r="P17" s="133">
        <f>SUM(D17:O17)</f>
        <v>7993589</v>
      </c>
      <c r="Q17" s="27">
        <f aca="true" t="shared" si="2" ref="Q17:Q22">SUM(C17-P17)</f>
        <v>0</v>
      </c>
    </row>
    <row r="18" spans="1:17" s="27" customFormat="1" ht="12.75">
      <c r="A18" s="51" t="s">
        <v>73</v>
      </c>
      <c r="B18" s="130" t="s">
        <v>74</v>
      </c>
      <c r="C18" s="131">
        <v>29249238</v>
      </c>
      <c r="D18" s="131">
        <v>29249238</v>
      </c>
      <c r="E18" s="132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/>
      <c r="M18" s="131"/>
      <c r="N18" s="131"/>
      <c r="O18" s="131">
        <v>0</v>
      </c>
      <c r="P18" s="133">
        <f>SUM(D18:O18)</f>
        <v>29249238</v>
      </c>
      <c r="Q18" s="27">
        <f t="shared" si="2"/>
        <v>0</v>
      </c>
    </row>
    <row r="19" spans="1:17" s="27" customFormat="1" ht="13.5" thickBot="1">
      <c r="A19" s="51" t="s">
        <v>75</v>
      </c>
      <c r="B19" s="130" t="s">
        <v>76</v>
      </c>
      <c r="C19" s="131">
        <v>73072007</v>
      </c>
      <c r="D19" s="131">
        <v>73072007</v>
      </c>
      <c r="E19" s="132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/>
      <c r="M19" s="131"/>
      <c r="N19" s="131"/>
      <c r="O19" s="131">
        <v>0</v>
      </c>
      <c r="P19" s="133">
        <f>SUM(D19:O19)</f>
        <v>73072007</v>
      </c>
      <c r="Q19" s="27">
        <f t="shared" si="2"/>
        <v>0</v>
      </c>
    </row>
    <row r="20" spans="1:17" s="34" customFormat="1" ht="13.5" thickBot="1">
      <c r="A20" s="96"/>
      <c r="B20" s="136" t="s">
        <v>85</v>
      </c>
      <c r="C20" s="137">
        <f aca="true" t="shared" si="3" ref="C20:Q20">SUM(C21:C22)</f>
        <v>62882473.89</v>
      </c>
      <c r="D20" s="137">
        <f t="shared" si="3"/>
        <v>13800074.89</v>
      </c>
      <c r="E20" s="137">
        <f t="shared" si="3"/>
        <v>29560524</v>
      </c>
      <c r="F20" s="137">
        <f t="shared" si="3"/>
        <v>18617376</v>
      </c>
      <c r="G20" s="137">
        <f t="shared" si="3"/>
        <v>904499</v>
      </c>
      <c r="H20" s="137">
        <f t="shared" si="3"/>
        <v>0</v>
      </c>
      <c r="I20" s="137">
        <f t="shared" si="3"/>
        <v>0</v>
      </c>
      <c r="J20" s="137">
        <f t="shared" si="3"/>
        <v>0</v>
      </c>
      <c r="K20" s="137">
        <f t="shared" si="3"/>
        <v>0</v>
      </c>
      <c r="L20" s="137">
        <f t="shared" si="3"/>
        <v>0</v>
      </c>
      <c r="M20" s="137">
        <f t="shared" si="3"/>
        <v>0</v>
      </c>
      <c r="N20" s="137">
        <f t="shared" si="3"/>
        <v>0</v>
      </c>
      <c r="O20" s="137">
        <f t="shared" si="3"/>
        <v>0</v>
      </c>
      <c r="P20" s="125">
        <f t="shared" si="3"/>
        <v>62882473.89</v>
      </c>
      <c r="Q20" s="138">
        <f t="shared" si="3"/>
        <v>0</v>
      </c>
    </row>
    <row r="21" spans="1:17" s="27" customFormat="1" ht="12.75">
      <c r="A21" s="54" t="s">
        <v>77</v>
      </c>
      <c r="B21" s="139" t="s">
        <v>78</v>
      </c>
      <c r="C21" s="140">
        <v>25566380</v>
      </c>
      <c r="D21" s="140">
        <v>5366</v>
      </c>
      <c r="E21" s="132">
        <v>12311608</v>
      </c>
      <c r="F21" s="140">
        <v>12344907</v>
      </c>
      <c r="G21" s="140">
        <v>904499</v>
      </c>
      <c r="H21" s="140">
        <v>0</v>
      </c>
      <c r="I21" s="140">
        <v>0</v>
      </c>
      <c r="J21" s="140">
        <v>0</v>
      </c>
      <c r="K21" s="140">
        <v>0</v>
      </c>
      <c r="L21" s="140"/>
      <c r="M21" s="140"/>
      <c r="N21" s="140"/>
      <c r="O21" s="140">
        <v>0</v>
      </c>
      <c r="P21" s="142">
        <f>SUM(D21:O21)</f>
        <v>25566380</v>
      </c>
      <c r="Q21" s="27">
        <f t="shared" si="2"/>
        <v>0</v>
      </c>
    </row>
    <row r="22" spans="1:17" s="27" customFormat="1" ht="13.5" thickBot="1">
      <c r="A22" s="51" t="s">
        <v>79</v>
      </c>
      <c r="B22" s="130" t="s">
        <v>62</v>
      </c>
      <c r="C22" s="143">
        <v>37316093.89</v>
      </c>
      <c r="D22" s="131">
        <v>13794708.89</v>
      </c>
      <c r="E22" s="132">
        <v>17248916</v>
      </c>
      <c r="F22" s="131">
        <v>6272469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/>
      <c r="M22" s="131"/>
      <c r="N22" s="131"/>
      <c r="O22" s="131">
        <v>0</v>
      </c>
      <c r="P22" s="142">
        <f>SUM(D22:O22)</f>
        <v>37316093.89</v>
      </c>
      <c r="Q22" s="27">
        <f t="shared" si="2"/>
        <v>0</v>
      </c>
    </row>
    <row r="23" spans="1:17" s="34" customFormat="1" ht="13.5" hidden="1" thickBot="1">
      <c r="A23" s="96"/>
      <c r="B23" s="136" t="s">
        <v>106</v>
      </c>
      <c r="C23" s="137">
        <f aca="true" t="shared" si="4" ref="C23:Q23">SUM(C24:C26)</f>
        <v>0</v>
      </c>
      <c r="D23" s="137">
        <f t="shared" si="4"/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137">
        <f t="shared" si="4"/>
        <v>0</v>
      </c>
      <c r="M23" s="137">
        <f t="shared" si="4"/>
        <v>0</v>
      </c>
      <c r="N23" s="137">
        <f t="shared" si="4"/>
        <v>0</v>
      </c>
      <c r="O23" s="137">
        <f t="shared" si="4"/>
        <v>0</v>
      </c>
      <c r="P23" s="125">
        <f t="shared" si="4"/>
        <v>0</v>
      </c>
      <c r="Q23" s="138" t="e">
        <f t="shared" si="4"/>
        <v>#REF!</v>
      </c>
    </row>
    <row r="24" spans="1:17" s="27" customFormat="1" ht="13.5" hidden="1" thickBot="1">
      <c r="A24" s="185" t="s">
        <v>66</v>
      </c>
      <c r="B24" s="145" t="s">
        <v>113</v>
      </c>
      <c r="C24" s="146"/>
      <c r="D24" s="131">
        <v>0</v>
      </c>
      <c r="E24" s="132"/>
      <c r="F24" s="131"/>
      <c r="G24" s="131"/>
      <c r="H24" s="131"/>
      <c r="I24" s="131"/>
      <c r="J24" s="131"/>
      <c r="K24" s="131"/>
      <c r="L24" s="146"/>
      <c r="M24" s="132"/>
      <c r="N24" s="131"/>
      <c r="O24" s="131"/>
      <c r="P24" s="133">
        <f>SUM(D24:O24)</f>
        <v>0</v>
      </c>
      <c r="Q24" s="27" t="e">
        <f>SUM(C24-#REF!)</f>
        <v>#REF!</v>
      </c>
    </row>
    <row r="25" spans="1:17" s="27" customFormat="1" ht="13.5" hidden="1" thickBot="1">
      <c r="A25" s="51" t="s">
        <v>128</v>
      </c>
      <c r="B25" s="130" t="s">
        <v>127</v>
      </c>
      <c r="C25" s="131"/>
      <c r="D25" s="131">
        <v>0</v>
      </c>
      <c r="E25" s="132"/>
      <c r="F25" s="131"/>
      <c r="G25" s="131"/>
      <c r="H25" s="131"/>
      <c r="I25" s="131"/>
      <c r="J25" s="131"/>
      <c r="K25" s="131"/>
      <c r="L25" s="146"/>
      <c r="M25" s="132"/>
      <c r="N25" s="131"/>
      <c r="O25" s="131"/>
      <c r="P25" s="133">
        <f>SUM(D25:O25)</f>
        <v>0</v>
      </c>
      <c r="Q25" s="27" t="e">
        <f>SUM(C25-#REF!)</f>
        <v>#REF!</v>
      </c>
    </row>
    <row r="26" spans="1:17" s="27" customFormat="1" ht="13.5" hidden="1" thickBot="1">
      <c r="A26" s="51" t="s">
        <v>117</v>
      </c>
      <c r="B26" s="130" t="s">
        <v>118</v>
      </c>
      <c r="C26" s="141"/>
      <c r="D26" s="141">
        <v>0</v>
      </c>
      <c r="E26" s="149"/>
      <c r="F26" s="147"/>
      <c r="G26" s="147"/>
      <c r="H26" s="134"/>
      <c r="I26" s="150"/>
      <c r="J26" s="147"/>
      <c r="K26" s="134"/>
      <c r="L26" s="148"/>
      <c r="M26" s="134"/>
      <c r="N26" s="131"/>
      <c r="O26" s="131"/>
      <c r="P26" s="133">
        <f>SUM(D26:O26)</f>
        <v>0</v>
      </c>
      <c r="Q26" s="27" t="e">
        <f>SUM(C26-#REF!)</f>
        <v>#REF!</v>
      </c>
    </row>
    <row r="27" spans="1:17" s="34" customFormat="1" ht="18" customHeight="1" thickBot="1">
      <c r="A27" s="96"/>
      <c r="B27" s="136" t="s">
        <v>83</v>
      </c>
      <c r="C27" s="137">
        <f aca="true" t="shared" si="5" ref="C27:Q27">SUM(C28:C44)</f>
        <v>1459969794.3100002</v>
      </c>
      <c r="D27" s="137">
        <f t="shared" si="5"/>
        <v>42797094</v>
      </c>
      <c r="E27" s="137">
        <f t="shared" si="5"/>
        <v>1361812555.99</v>
      </c>
      <c r="F27" s="137">
        <f t="shared" si="5"/>
        <v>28016835.32</v>
      </c>
      <c r="G27" s="137">
        <f t="shared" si="5"/>
        <v>0</v>
      </c>
      <c r="H27" s="137">
        <f t="shared" si="5"/>
        <v>0</v>
      </c>
      <c r="I27" s="137">
        <f t="shared" si="5"/>
        <v>27343309</v>
      </c>
      <c r="J27" s="137">
        <f t="shared" si="5"/>
        <v>0</v>
      </c>
      <c r="K27" s="137">
        <f t="shared" si="5"/>
        <v>0</v>
      </c>
      <c r="L27" s="137">
        <f t="shared" si="5"/>
        <v>0</v>
      </c>
      <c r="M27" s="137">
        <f t="shared" si="5"/>
        <v>0</v>
      </c>
      <c r="N27" s="137">
        <f t="shared" si="5"/>
        <v>0</v>
      </c>
      <c r="O27" s="137">
        <f t="shared" si="5"/>
        <v>0</v>
      </c>
      <c r="P27" s="125">
        <f t="shared" si="5"/>
        <v>1459969794.3100002</v>
      </c>
      <c r="Q27" s="138">
        <f t="shared" si="5"/>
        <v>0</v>
      </c>
    </row>
    <row r="28" spans="1:17" s="12" customFormat="1" ht="12.75">
      <c r="A28" s="144" t="s">
        <v>148</v>
      </c>
      <c r="B28" s="201" t="s">
        <v>138</v>
      </c>
      <c r="C28" s="140">
        <v>2713238</v>
      </c>
      <c r="D28" s="140">
        <v>2713238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/>
      <c r="M28" s="140"/>
      <c r="N28" s="140"/>
      <c r="O28" s="140">
        <v>0</v>
      </c>
      <c r="P28" s="133">
        <f aca="true" t="shared" si="6" ref="P28:P44">SUM(D28:O28)</f>
        <v>2713238</v>
      </c>
      <c r="Q28" s="27">
        <f aca="true" t="shared" si="7" ref="Q28:Q44">SUM(C28-P28)</f>
        <v>0</v>
      </c>
    </row>
    <row r="29" spans="1:17" s="12" customFormat="1" ht="12.75">
      <c r="A29" s="153" t="s">
        <v>149</v>
      </c>
      <c r="B29" s="29" t="s">
        <v>139</v>
      </c>
      <c r="C29" s="140">
        <v>19862038</v>
      </c>
      <c r="D29" s="140">
        <v>2713238</v>
      </c>
      <c r="E29" s="140">
        <v>17148800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/>
      <c r="M29" s="140"/>
      <c r="N29" s="140"/>
      <c r="O29" s="140">
        <v>0</v>
      </c>
      <c r="P29" s="133">
        <f t="shared" si="6"/>
        <v>19862038</v>
      </c>
      <c r="Q29" s="27">
        <f t="shared" si="7"/>
        <v>0</v>
      </c>
    </row>
    <row r="30" spans="1:17" s="12" customFormat="1" ht="12.75">
      <c r="A30" s="153" t="s">
        <v>156</v>
      </c>
      <c r="B30" s="29" t="s">
        <v>155</v>
      </c>
      <c r="C30" s="140">
        <v>1328962919</v>
      </c>
      <c r="D30" s="140">
        <v>3768000</v>
      </c>
      <c r="E30" s="140">
        <v>1286616678</v>
      </c>
      <c r="F30" s="140">
        <v>11234932</v>
      </c>
      <c r="G30" s="140">
        <v>0</v>
      </c>
      <c r="H30" s="140">
        <v>0</v>
      </c>
      <c r="I30" s="140">
        <v>27343309</v>
      </c>
      <c r="J30" s="140">
        <v>0</v>
      </c>
      <c r="K30" s="140">
        <v>0</v>
      </c>
      <c r="L30" s="140"/>
      <c r="M30" s="140"/>
      <c r="N30" s="140"/>
      <c r="O30" s="140">
        <v>0</v>
      </c>
      <c r="P30" s="133">
        <f t="shared" si="6"/>
        <v>1328962919</v>
      </c>
      <c r="Q30" s="27">
        <f t="shared" si="7"/>
        <v>0</v>
      </c>
    </row>
    <row r="31" spans="1:17" s="12" customFormat="1" ht="12.75">
      <c r="A31" s="153" t="s">
        <v>157</v>
      </c>
      <c r="B31" s="29" t="s">
        <v>158</v>
      </c>
      <c r="C31" s="140">
        <v>2713238</v>
      </c>
      <c r="D31" s="140">
        <v>2713238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/>
      <c r="M31" s="140"/>
      <c r="N31" s="140"/>
      <c r="O31" s="140">
        <v>0</v>
      </c>
      <c r="P31" s="133">
        <f t="shared" si="6"/>
        <v>2713238</v>
      </c>
      <c r="Q31" s="27">
        <f t="shared" si="7"/>
        <v>0</v>
      </c>
    </row>
    <row r="32" spans="1:17" s="12" customFormat="1" ht="12.75">
      <c r="A32" s="153" t="s">
        <v>132</v>
      </c>
      <c r="B32" s="29" t="s">
        <v>144</v>
      </c>
      <c r="C32" s="140">
        <v>7808579</v>
      </c>
      <c r="D32" s="140">
        <v>0</v>
      </c>
      <c r="E32" s="140">
        <v>5499971</v>
      </c>
      <c r="F32" s="140">
        <v>2308608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/>
      <c r="M32" s="140"/>
      <c r="N32" s="140"/>
      <c r="O32" s="140">
        <v>0</v>
      </c>
      <c r="P32" s="133">
        <f t="shared" si="6"/>
        <v>7808579</v>
      </c>
      <c r="Q32" s="27">
        <f t="shared" si="7"/>
        <v>0</v>
      </c>
    </row>
    <row r="33" spans="1:17" s="12" customFormat="1" ht="12.75">
      <c r="A33" s="153" t="s">
        <v>140</v>
      </c>
      <c r="B33" s="28" t="s">
        <v>141</v>
      </c>
      <c r="C33" s="131">
        <v>9824612</v>
      </c>
      <c r="D33" s="140">
        <v>0</v>
      </c>
      <c r="E33" s="131">
        <v>7649660</v>
      </c>
      <c r="F33" s="131">
        <v>2174952</v>
      </c>
      <c r="G33" s="140">
        <v>0</v>
      </c>
      <c r="H33" s="140">
        <v>0</v>
      </c>
      <c r="I33" s="140">
        <v>0</v>
      </c>
      <c r="J33" s="140">
        <v>0</v>
      </c>
      <c r="K33" s="131">
        <v>0</v>
      </c>
      <c r="L33" s="131"/>
      <c r="M33" s="131"/>
      <c r="N33" s="131"/>
      <c r="O33" s="140">
        <v>0</v>
      </c>
      <c r="P33" s="133">
        <f t="shared" si="6"/>
        <v>9824612</v>
      </c>
      <c r="Q33" s="27">
        <f t="shared" si="7"/>
        <v>0</v>
      </c>
    </row>
    <row r="34" spans="1:17" s="12" customFormat="1" ht="12.75">
      <c r="A34" s="153" t="s">
        <v>119</v>
      </c>
      <c r="B34" s="28" t="s">
        <v>124</v>
      </c>
      <c r="C34" s="131">
        <v>5527318.65</v>
      </c>
      <c r="D34" s="140">
        <v>2713238</v>
      </c>
      <c r="E34" s="131">
        <v>2638747.33</v>
      </c>
      <c r="F34" s="131">
        <v>175333.32</v>
      </c>
      <c r="G34" s="140">
        <v>0</v>
      </c>
      <c r="H34" s="140">
        <v>0</v>
      </c>
      <c r="I34" s="140">
        <v>0</v>
      </c>
      <c r="J34" s="140">
        <v>0</v>
      </c>
      <c r="K34" s="131">
        <v>0</v>
      </c>
      <c r="L34" s="131"/>
      <c r="M34" s="131"/>
      <c r="N34" s="131"/>
      <c r="O34" s="140">
        <v>0</v>
      </c>
      <c r="P34" s="133">
        <f t="shared" si="6"/>
        <v>5527318.65</v>
      </c>
      <c r="Q34" s="27">
        <f t="shared" si="7"/>
        <v>0</v>
      </c>
    </row>
    <row r="35" spans="1:17" s="12" customFormat="1" ht="12.75">
      <c r="A35" s="153" t="s">
        <v>137</v>
      </c>
      <c r="B35" s="28" t="s">
        <v>159</v>
      </c>
      <c r="C35" s="131">
        <v>2713238</v>
      </c>
      <c r="D35" s="140">
        <v>2713238</v>
      </c>
      <c r="E35" s="131">
        <v>0</v>
      </c>
      <c r="F35" s="131">
        <v>0</v>
      </c>
      <c r="G35" s="140">
        <v>0</v>
      </c>
      <c r="H35" s="140">
        <v>0</v>
      </c>
      <c r="I35" s="140">
        <v>0</v>
      </c>
      <c r="J35" s="140">
        <v>0</v>
      </c>
      <c r="K35" s="131">
        <v>0</v>
      </c>
      <c r="L35" s="131"/>
      <c r="M35" s="131"/>
      <c r="N35" s="154"/>
      <c r="O35" s="140">
        <v>0</v>
      </c>
      <c r="P35" s="133">
        <f t="shared" si="6"/>
        <v>2713238</v>
      </c>
      <c r="Q35" s="27">
        <f t="shared" si="7"/>
        <v>0</v>
      </c>
    </row>
    <row r="36" spans="1:17" s="12" customFormat="1" ht="12.75">
      <c r="A36" s="153" t="s">
        <v>162</v>
      </c>
      <c r="B36" s="28" t="s">
        <v>163</v>
      </c>
      <c r="C36" s="131">
        <v>16279430</v>
      </c>
      <c r="D36" s="140">
        <v>16279430</v>
      </c>
      <c r="E36" s="131">
        <v>0</v>
      </c>
      <c r="F36" s="131">
        <v>0</v>
      </c>
      <c r="G36" s="140">
        <v>0</v>
      </c>
      <c r="H36" s="140">
        <v>0</v>
      </c>
      <c r="I36" s="140">
        <v>0</v>
      </c>
      <c r="J36" s="140">
        <v>0</v>
      </c>
      <c r="K36" s="131">
        <v>0</v>
      </c>
      <c r="L36" s="131"/>
      <c r="M36" s="131"/>
      <c r="N36" s="154"/>
      <c r="O36" s="140">
        <v>0</v>
      </c>
      <c r="P36" s="133">
        <f t="shared" si="6"/>
        <v>16279430</v>
      </c>
      <c r="Q36" s="27">
        <f t="shared" si="7"/>
        <v>0</v>
      </c>
    </row>
    <row r="37" spans="1:17" s="12" customFormat="1" ht="12.75">
      <c r="A37" s="153" t="s">
        <v>120</v>
      </c>
      <c r="B37" s="28" t="s">
        <v>69</v>
      </c>
      <c r="C37" s="131">
        <v>184063</v>
      </c>
      <c r="D37" s="140">
        <v>0</v>
      </c>
      <c r="E37" s="131">
        <v>184063</v>
      </c>
      <c r="F37" s="131">
        <v>0</v>
      </c>
      <c r="G37" s="140">
        <v>0</v>
      </c>
      <c r="H37" s="140">
        <v>0</v>
      </c>
      <c r="I37" s="140">
        <v>0</v>
      </c>
      <c r="J37" s="140">
        <v>0</v>
      </c>
      <c r="K37" s="131">
        <v>0</v>
      </c>
      <c r="L37" s="131"/>
      <c r="M37" s="131"/>
      <c r="N37" s="131"/>
      <c r="O37" s="140">
        <v>0</v>
      </c>
      <c r="P37" s="133">
        <f t="shared" si="6"/>
        <v>184063</v>
      </c>
      <c r="Q37" s="27">
        <f t="shared" si="7"/>
        <v>0</v>
      </c>
    </row>
    <row r="38" spans="1:17" s="12" customFormat="1" ht="12.75">
      <c r="A38" s="153" t="s">
        <v>133</v>
      </c>
      <c r="B38" s="28" t="s">
        <v>70</v>
      </c>
      <c r="C38" s="131">
        <v>6320055</v>
      </c>
      <c r="D38" s="140">
        <v>0</v>
      </c>
      <c r="E38" s="131">
        <v>5327637</v>
      </c>
      <c r="F38" s="131">
        <v>992418</v>
      </c>
      <c r="G38" s="140">
        <v>0</v>
      </c>
      <c r="H38" s="140">
        <v>0</v>
      </c>
      <c r="I38" s="140">
        <v>0</v>
      </c>
      <c r="J38" s="140">
        <v>0</v>
      </c>
      <c r="K38" s="131">
        <v>0</v>
      </c>
      <c r="L38" s="131"/>
      <c r="M38" s="131"/>
      <c r="N38" s="131"/>
      <c r="O38" s="140">
        <v>0</v>
      </c>
      <c r="P38" s="133">
        <f t="shared" si="6"/>
        <v>6320055</v>
      </c>
      <c r="Q38" s="27">
        <f t="shared" si="7"/>
        <v>0</v>
      </c>
    </row>
    <row r="39" spans="1:17" s="12" customFormat="1" ht="12.75">
      <c r="A39" s="153" t="s">
        <v>164</v>
      </c>
      <c r="B39" s="28" t="s">
        <v>165</v>
      </c>
      <c r="C39" s="131">
        <v>3527104.66</v>
      </c>
      <c r="D39" s="140">
        <v>2713238</v>
      </c>
      <c r="E39" s="131">
        <v>813866.66</v>
      </c>
      <c r="F39" s="131">
        <v>0</v>
      </c>
      <c r="G39" s="140">
        <v>0</v>
      </c>
      <c r="H39" s="140">
        <v>0</v>
      </c>
      <c r="I39" s="140">
        <v>0</v>
      </c>
      <c r="J39" s="140">
        <v>0</v>
      </c>
      <c r="K39" s="131">
        <v>0</v>
      </c>
      <c r="L39" s="131"/>
      <c r="M39" s="131"/>
      <c r="N39" s="131"/>
      <c r="O39" s="140">
        <v>0</v>
      </c>
      <c r="P39" s="133">
        <f t="shared" si="6"/>
        <v>3527104.66</v>
      </c>
      <c r="Q39" s="27">
        <f t="shared" si="7"/>
        <v>0</v>
      </c>
    </row>
    <row r="40" spans="1:17" s="12" customFormat="1" ht="12.75">
      <c r="A40" s="153" t="s">
        <v>134</v>
      </c>
      <c r="B40" s="28" t="s">
        <v>135</v>
      </c>
      <c r="C40" s="131">
        <v>22487506</v>
      </c>
      <c r="D40" s="140">
        <v>2713238</v>
      </c>
      <c r="E40" s="131">
        <v>14435792</v>
      </c>
      <c r="F40" s="131">
        <v>5338476</v>
      </c>
      <c r="G40" s="140">
        <v>0</v>
      </c>
      <c r="H40" s="140">
        <v>0</v>
      </c>
      <c r="I40" s="140">
        <v>0</v>
      </c>
      <c r="J40" s="140">
        <v>0</v>
      </c>
      <c r="K40" s="131">
        <v>0</v>
      </c>
      <c r="L40" s="131"/>
      <c r="M40" s="131"/>
      <c r="N40" s="131"/>
      <c r="O40" s="140">
        <v>0</v>
      </c>
      <c r="P40" s="133">
        <f t="shared" si="6"/>
        <v>22487506</v>
      </c>
      <c r="Q40" s="27">
        <f t="shared" si="7"/>
        <v>0</v>
      </c>
    </row>
    <row r="41" spans="1:17" s="12" customFormat="1" ht="12.75">
      <c r="A41" s="155" t="s">
        <v>145</v>
      </c>
      <c r="B41" s="90" t="s">
        <v>146</v>
      </c>
      <c r="C41" s="131">
        <v>417600</v>
      </c>
      <c r="D41" s="140">
        <v>0</v>
      </c>
      <c r="E41" s="131">
        <v>417600</v>
      </c>
      <c r="F41" s="131">
        <v>0</v>
      </c>
      <c r="G41" s="140">
        <v>0</v>
      </c>
      <c r="H41" s="140">
        <v>0</v>
      </c>
      <c r="I41" s="134">
        <v>0</v>
      </c>
      <c r="J41" s="140">
        <v>0</v>
      </c>
      <c r="K41" s="132">
        <v>0</v>
      </c>
      <c r="L41" s="131"/>
      <c r="M41" s="131"/>
      <c r="N41" s="131"/>
      <c r="O41" s="140">
        <v>0</v>
      </c>
      <c r="P41" s="133">
        <f t="shared" si="6"/>
        <v>417600</v>
      </c>
      <c r="Q41" s="27">
        <f t="shared" si="7"/>
        <v>0</v>
      </c>
    </row>
    <row r="42" spans="1:17" s="12" customFormat="1" ht="12.75">
      <c r="A42" s="155" t="s">
        <v>166</v>
      </c>
      <c r="B42" s="90" t="s">
        <v>167</v>
      </c>
      <c r="C42" s="131">
        <v>2713238</v>
      </c>
      <c r="D42" s="140">
        <v>2713238</v>
      </c>
      <c r="E42" s="131">
        <v>0</v>
      </c>
      <c r="F42" s="131">
        <v>0</v>
      </c>
      <c r="G42" s="140">
        <v>0</v>
      </c>
      <c r="H42" s="140">
        <v>0</v>
      </c>
      <c r="I42" s="134">
        <v>0</v>
      </c>
      <c r="J42" s="140">
        <v>0</v>
      </c>
      <c r="K42" s="132">
        <v>0</v>
      </c>
      <c r="L42" s="131"/>
      <c r="M42" s="131"/>
      <c r="N42" s="131"/>
      <c r="O42" s="140">
        <v>0</v>
      </c>
      <c r="P42" s="133">
        <f t="shared" si="6"/>
        <v>2713238</v>
      </c>
      <c r="Q42" s="27">
        <f t="shared" si="7"/>
        <v>0</v>
      </c>
    </row>
    <row r="43" spans="1:17" s="12" customFormat="1" ht="12.75">
      <c r="A43" s="188" t="s">
        <v>121</v>
      </c>
      <c r="B43" s="90" t="s">
        <v>122</v>
      </c>
      <c r="C43" s="131">
        <v>11849160</v>
      </c>
      <c r="D43" s="140">
        <v>1043760</v>
      </c>
      <c r="E43" s="131">
        <v>10805400</v>
      </c>
      <c r="F43" s="131">
        <v>0</v>
      </c>
      <c r="G43" s="140">
        <v>0</v>
      </c>
      <c r="H43" s="140">
        <v>0</v>
      </c>
      <c r="I43" s="189">
        <v>0</v>
      </c>
      <c r="J43" s="140">
        <v>0</v>
      </c>
      <c r="K43" s="132">
        <v>0</v>
      </c>
      <c r="L43" s="132"/>
      <c r="M43" s="131"/>
      <c r="N43" s="131"/>
      <c r="O43" s="140">
        <v>0</v>
      </c>
      <c r="P43" s="133">
        <f t="shared" si="6"/>
        <v>11849160</v>
      </c>
      <c r="Q43" s="27">
        <f t="shared" si="7"/>
        <v>0</v>
      </c>
    </row>
    <row r="44" spans="1:17" s="12" customFormat="1" ht="15" customHeight="1" thickBot="1">
      <c r="A44" s="188" t="s">
        <v>123</v>
      </c>
      <c r="B44" s="28" t="s">
        <v>147</v>
      </c>
      <c r="C44" s="131">
        <v>16066457</v>
      </c>
      <c r="D44" s="140">
        <v>0</v>
      </c>
      <c r="E44" s="131">
        <v>10274341</v>
      </c>
      <c r="F44" s="189">
        <v>5792116</v>
      </c>
      <c r="G44" s="140">
        <v>0</v>
      </c>
      <c r="H44" s="140">
        <v>0</v>
      </c>
      <c r="I44" s="189">
        <v>0</v>
      </c>
      <c r="J44" s="140">
        <v>0</v>
      </c>
      <c r="K44" s="132">
        <v>0</v>
      </c>
      <c r="L44" s="132"/>
      <c r="M44" s="131"/>
      <c r="N44" s="131"/>
      <c r="O44" s="140">
        <v>0</v>
      </c>
      <c r="P44" s="133">
        <f t="shared" si="6"/>
        <v>16066457</v>
      </c>
      <c r="Q44" s="27">
        <f t="shared" si="7"/>
        <v>0</v>
      </c>
    </row>
    <row r="45" spans="1:17" s="13" customFormat="1" ht="13.5" thickBot="1">
      <c r="A45" s="281" t="s">
        <v>50</v>
      </c>
      <c r="B45" s="282"/>
      <c r="C45" s="137">
        <f aca="true" t="shared" si="8" ref="C45:P45">SUM(C15+C20+C23+C27)</f>
        <v>1639120725.2000003</v>
      </c>
      <c r="D45" s="137">
        <f t="shared" si="8"/>
        <v>172865625.89</v>
      </c>
      <c r="E45" s="137">
        <f t="shared" si="8"/>
        <v>1391373079.99</v>
      </c>
      <c r="F45" s="137">
        <f t="shared" si="8"/>
        <v>46634211.32</v>
      </c>
      <c r="G45" s="137">
        <f t="shared" si="8"/>
        <v>904499</v>
      </c>
      <c r="H45" s="137">
        <f t="shared" si="8"/>
        <v>0</v>
      </c>
      <c r="I45" s="137">
        <f t="shared" si="8"/>
        <v>27343309</v>
      </c>
      <c r="J45" s="137">
        <f t="shared" si="8"/>
        <v>0</v>
      </c>
      <c r="K45" s="137">
        <f t="shared" si="8"/>
        <v>0</v>
      </c>
      <c r="L45" s="137">
        <f t="shared" si="8"/>
        <v>0</v>
      </c>
      <c r="M45" s="137">
        <f t="shared" si="8"/>
        <v>0</v>
      </c>
      <c r="N45" s="137">
        <f t="shared" si="8"/>
        <v>0</v>
      </c>
      <c r="O45" s="137">
        <f t="shared" si="8"/>
        <v>0</v>
      </c>
      <c r="P45" s="125">
        <f t="shared" si="8"/>
        <v>1639120725.2000003</v>
      </c>
      <c r="Q45" s="156">
        <f>SUM(Q15+Q20+Q27)</f>
        <v>0</v>
      </c>
    </row>
    <row r="46" spans="1:16" ht="12.75">
      <c r="A46" s="191" t="s">
        <v>279</v>
      </c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1"/>
    </row>
    <row r="47" spans="1:16" ht="12.75">
      <c r="A47" s="16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161"/>
      <c r="B48" s="16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5.75" thickBot="1">
      <c r="A52" s="4"/>
      <c r="B52" s="8"/>
      <c r="C52" s="3"/>
      <c r="D52" s="283"/>
      <c r="E52" s="283"/>
      <c r="F52" s="283"/>
      <c r="G52" s="283"/>
      <c r="H52" s="283"/>
      <c r="I52" s="283"/>
      <c r="J52" s="283"/>
      <c r="K52" s="8"/>
      <c r="L52" s="5"/>
      <c r="M52" s="5"/>
      <c r="N52" s="5"/>
      <c r="O52" s="5"/>
      <c r="P52" s="6"/>
    </row>
    <row r="53" spans="1:16" ht="15" customHeight="1">
      <c r="A53" s="4"/>
      <c r="B53" s="81" t="s">
        <v>175</v>
      </c>
      <c r="C53" s="290" t="s">
        <v>136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1"/>
    </row>
    <row r="54" spans="1:16" ht="0.75" customHeight="1" thickBot="1">
      <c r="A54" s="9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</sheetData>
  <mergeCells count="10">
    <mergeCell ref="C53:P53"/>
    <mergeCell ref="A5:P5"/>
    <mergeCell ref="A4:P4"/>
    <mergeCell ref="A1:P1"/>
    <mergeCell ref="A2:P2"/>
    <mergeCell ref="A3:P3"/>
    <mergeCell ref="A7:B7"/>
    <mergeCell ref="A8:B8"/>
    <mergeCell ref="A45:B45"/>
    <mergeCell ref="D52:J52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="75" zoomScaleNormal="75" workbookViewId="0" topLeftCell="A11">
      <pane ySplit="495" topLeftCell="BM11" activePane="bottomLeft" state="split"/>
      <selection pane="topLeft" activeCell="AB45" sqref="AB45"/>
      <selection pane="bottomLeft" activeCell="C21" sqref="C2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00390625" style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19.57421875" style="1" customWidth="1"/>
    <col min="43" max="43" width="19.7109375" style="193" customWidth="1"/>
    <col min="44" max="44" width="19.57421875" style="193" customWidth="1"/>
    <col min="45" max="45" width="17.7109375" style="193" customWidth="1"/>
    <col min="46" max="16384" width="11.421875" style="1" customWidth="1"/>
  </cols>
  <sheetData>
    <row r="1" spans="1:42" ht="18">
      <c r="A1" s="256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7"/>
    </row>
    <row r="2" spans="1:42" ht="15.7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60"/>
    </row>
    <row r="3" spans="1:42" ht="18">
      <c r="A3" s="261" t="s">
        <v>51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3"/>
    </row>
    <row r="4" spans="1:42" ht="15.75">
      <c r="A4" s="258" t="s">
        <v>52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60"/>
    </row>
    <row r="5" spans="1:42" ht="20.25">
      <c r="A5" s="264" t="s">
        <v>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6"/>
    </row>
    <row r="6" spans="1:43" ht="1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64"/>
      <c r="AI6" s="58"/>
      <c r="AJ6" s="58"/>
      <c r="AK6" s="58"/>
      <c r="AL6" s="58"/>
      <c r="AM6" s="58"/>
      <c r="AN6" s="58"/>
      <c r="AO6" s="58"/>
      <c r="AP6" s="59"/>
      <c r="AQ6" s="194"/>
    </row>
    <row r="7" spans="1:43" ht="15.75">
      <c r="A7" s="292" t="s">
        <v>4</v>
      </c>
      <c r="B7" s="293"/>
      <c r="C7" s="74" t="s">
        <v>48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75" t="s">
        <v>8</v>
      </c>
      <c r="AD7" s="77"/>
      <c r="AE7" s="77"/>
      <c r="AF7" s="77"/>
      <c r="AG7" s="77"/>
      <c r="AH7" s="64"/>
      <c r="AI7" s="77"/>
      <c r="AJ7" s="77"/>
      <c r="AK7" s="77"/>
      <c r="AL7" s="77"/>
      <c r="AM7" s="77"/>
      <c r="AN7" s="77"/>
      <c r="AO7" s="77"/>
      <c r="AP7" s="80" t="s">
        <v>288</v>
      </c>
      <c r="AQ7" s="195"/>
    </row>
    <row r="8" spans="1:43" ht="20.25">
      <c r="A8" s="292" t="s">
        <v>5</v>
      </c>
      <c r="B8" s="293"/>
      <c r="C8" s="73" t="s">
        <v>57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6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75" t="s">
        <v>9</v>
      </c>
      <c r="AD8" s="77"/>
      <c r="AE8" s="77"/>
      <c r="AF8" s="77"/>
      <c r="AG8" s="77"/>
      <c r="AH8" s="64"/>
      <c r="AI8" s="77"/>
      <c r="AJ8" s="77"/>
      <c r="AK8" s="77"/>
      <c r="AL8" s="77"/>
      <c r="AM8" s="77"/>
      <c r="AN8" s="77"/>
      <c r="AO8" s="77"/>
      <c r="AP8" s="76">
        <v>2006</v>
      </c>
      <c r="AQ8" s="46"/>
    </row>
    <row r="9" spans="1:42" ht="15.75" thickBo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</row>
    <row r="10" spans="1:42" ht="15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</row>
    <row r="11" spans="1:42" ht="15">
      <c r="A11" s="179" t="s">
        <v>40</v>
      </c>
      <c r="B11" s="179" t="s">
        <v>42</v>
      </c>
      <c r="C11" s="179" t="s">
        <v>43</v>
      </c>
      <c r="D11" s="179" t="s">
        <v>44</v>
      </c>
      <c r="E11" s="179" t="s">
        <v>44</v>
      </c>
      <c r="F11" s="179" t="s">
        <v>44</v>
      </c>
      <c r="G11" s="179" t="s">
        <v>44</v>
      </c>
      <c r="H11" s="179" t="s">
        <v>44</v>
      </c>
      <c r="I11" s="179" t="s">
        <v>44</v>
      </c>
      <c r="J11" s="179" t="s">
        <v>44</v>
      </c>
      <c r="K11" s="179" t="s">
        <v>44</v>
      </c>
      <c r="L11" s="179" t="s">
        <v>44</v>
      </c>
      <c r="M11" s="179" t="s">
        <v>44</v>
      </c>
      <c r="N11" s="179" t="s">
        <v>44</v>
      </c>
      <c r="O11" s="179" t="s">
        <v>44</v>
      </c>
      <c r="P11" s="179" t="s">
        <v>44</v>
      </c>
      <c r="Q11" s="179" t="s">
        <v>45</v>
      </c>
      <c r="R11" s="179" t="s">
        <v>45</v>
      </c>
      <c r="S11" s="179" t="s">
        <v>45</v>
      </c>
      <c r="T11" s="179" t="s">
        <v>45</v>
      </c>
      <c r="U11" s="179" t="s">
        <v>45</v>
      </c>
      <c r="V11" s="179" t="s">
        <v>45</v>
      </c>
      <c r="W11" s="179" t="s">
        <v>45</v>
      </c>
      <c r="X11" s="179" t="s">
        <v>45</v>
      </c>
      <c r="Y11" s="179" t="s">
        <v>45</v>
      </c>
      <c r="Z11" s="179" t="s">
        <v>45</v>
      </c>
      <c r="AA11" s="179" t="s">
        <v>45</v>
      </c>
      <c r="AB11" s="179" t="s">
        <v>45</v>
      </c>
      <c r="AC11" s="179" t="s">
        <v>45</v>
      </c>
      <c r="AD11" s="179" t="s">
        <v>46</v>
      </c>
      <c r="AE11" s="179" t="s">
        <v>46</v>
      </c>
      <c r="AF11" s="179" t="s">
        <v>46</v>
      </c>
      <c r="AG11" s="179" t="s">
        <v>46</v>
      </c>
      <c r="AH11" s="179" t="s">
        <v>46</v>
      </c>
      <c r="AI11" s="179" t="s">
        <v>46</v>
      </c>
      <c r="AJ11" s="179" t="s">
        <v>46</v>
      </c>
      <c r="AK11" s="179" t="s">
        <v>46</v>
      </c>
      <c r="AL11" s="179" t="s">
        <v>46</v>
      </c>
      <c r="AM11" s="179" t="s">
        <v>46</v>
      </c>
      <c r="AN11" s="179" t="s">
        <v>46</v>
      </c>
      <c r="AO11" s="179" t="s">
        <v>46</v>
      </c>
      <c r="AP11" s="179" t="s">
        <v>46</v>
      </c>
    </row>
    <row r="12" spans="1:45" ht="15.75" thickBot="1">
      <c r="A12" s="180" t="s">
        <v>41</v>
      </c>
      <c r="B12" s="180"/>
      <c r="C12" s="180" t="s">
        <v>12</v>
      </c>
      <c r="D12" s="180" t="s">
        <v>13</v>
      </c>
      <c r="E12" s="180" t="s">
        <v>14</v>
      </c>
      <c r="F12" s="180" t="s">
        <v>15</v>
      </c>
      <c r="G12" s="180" t="s">
        <v>112</v>
      </c>
      <c r="H12" s="180" t="s">
        <v>17</v>
      </c>
      <c r="I12" s="180" t="s">
        <v>18</v>
      </c>
      <c r="J12" s="180" t="s">
        <v>19</v>
      </c>
      <c r="K12" s="180" t="s">
        <v>20</v>
      </c>
      <c r="L12" s="180" t="s">
        <v>21</v>
      </c>
      <c r="M12" s="180" t="s">
        <v>22</v>
      </c>
      <c r="N12" s="180" t="s">
        <v>23</v>
      </c>
      <c r="O12" s="180" t="s">
        <v>24</v>
      </c>
      <c r="P12" s="180" t="s">
        <v>25</v>
      </c>
      <c r="Q12" s="180" t="s">
        <v>13</v>
      </c>
      <c r="R12" s="180" t="s">
        <v>14</v>
      </c>
      <c r="S12" s="180" t="s">
        <v>15</v>
      </c>
      <c r="T12" s="180" t="s">
        <v>16</v>
      </c>
      <c r="U12" s="180" t="s">
        <v>28</v>
      </c>
      <c r="V12" s="180" t="s">
        <v>29</v>
      </c>
      <c r="W12" s="180" t="s">
        <v>30</v>
      </c>
      <c r="X12" s="180" t="s">
        <v>20</v>
      </c>
      <c r="Y12" s="180" t="s">
        <v>21</v>
      </c>
      <c r="Z12" s="180" t="s">
        <v>31</v>
      </c>
      <c r="AA12" s="180" t="s">
        <v>23</v>
      </c>
      <c r="AB12" s="180" t="s">
        <v>24</v>
      </c>
      <c r="AC12" s="180" t="s">
        <v>47</v>
      </c>
      <c r="AD12" s="180" t="s">
        <v>13</v>
      </c>
      <c r="AE12" s="180" t="s">
        <v>14</v>
      </c>
      <c r="AF12" s="180" t="s">
        <v>15</v>
      </c>
      <c r="AG12" s="180" t="s">
        <v>16</v>
      </c>
      <c r="AH12" s="180" t="s">
        <v>28</v>
      </c>
      <c r="AI12" s="180" t="s">
        <v>29</v>
      </c>
      <c r="AJ12" s="180" t="s">
        <v>30</v>
      </c>
      <c r="AK12" s="180" t="s">
        <v>20</v>
      </c>
      <c r="AL12" s="180" t="s">
        <v>21</v>
      </c>
      <c r="AM12" s="180" t="s">
        <v>31</v>
      </c>
      <c r="AN12" s="180" t="s">
        <v>23</v>
      </c>
      <c r="AO12" s="180" t="s">
        <v>24</v>
      </c>
      <c r="AP12" s="180" t="s">
        <v>25</v>
      </c>
      <c r="AQ12" s="196" t="s">
        <v>102</v>
      </c>
      <c r="AR12" s="196" t="s">
        <v>54</v>
      </c>
      <c r="AS12" s="196" t="s">
        <v>131</v>
      </c>
    </row>
    <row r="13" spans="1:42" ht="15.75" thickBot="1">
      <c r="A13" s="181">
        <v>1</v>
      </c>
      <c r="B13" s="182">
        <v>2</v>
      </c>
      <c r="C13" s="182"/>
      <c r="D13" s="182"/>
      <c r="E13" s="182"/>
      <c r="F13" s="182">
        <v>3</v>
      </c>
      <c r="G13" s="182">
        <v>3</v>
      </c>
      <c r="H13" s="182">
        <v>3</v>
      </c>
      <c r="I13" s="182">
        <v>3</v>
      </c>
      <c r="J13" s="182">
        <v>3</v>
      </c>
      <c r="K13" s="182">
        <v>3</v>
      </c>
      <c r="L13" s="182">
        <v>3</v>
      </c>
      <c r="M13" s="182">
        <v>3</v>
      </c>
      <c r="N13" s="182">
        <v>3</v>
      </c>
      <c r="O13" s="182">
        <v>3</v>
      </c>
      <c r="P13" s="182">
        <v>4</v>
      </c>
      <c r="Q13" s="182"/>
      <c r="R13" s="182"/>
      <c r="S13" s="182">
        <v>5</v>
      </c>
      <c r="T13" s="182">
        <v>5</v>
      </c>
      <c r="U13" s="182">
        <v>5</v>
      </c>
      <c r="V13" s="182">
        <v>5</v>
      </c>
      <c r="W13" s="182">
        <v>5</v>
      </c>
      <c r="X13" s="182">
        <v>5</v>
      </c>
      <c r="Y13" s="182">
        <v>5</v>
      </c>
      <c r="Z13" s="182">
        <v>5</v>
      </c>
      <c r="AA13" s="182">
        <v>5</v>
      </c>
      <c r="AB13" s="182">
        <v>5</v>
      </c>
      <c r="AC13" s="182">
        <v>6</v>
      </c>
      <c r="AD13" s="182"/>
      <c r="AE13" s="182"/>
      <c r="AF13" s="182">
        <v>7</v>
      </c>
      <c r="AG13" s="182">
        <v>7</v>
      </c>
      <c r="AH13" s="182">
        <v>7</v>
      </c>
      <c r="AI13" s="182">
        <v>7</v>
      </c>
      <c r="AJ13" s="182">
        <v>7</v>
      </c>
      <c r="AK13" s="182">
        <v>7</v>
      </c>
      <c r="AL13" s="182">
        <v>7</v>
      </c>
      <c r="AM13" s="182">
        <v>7</v>
      </c>
      <c r="AN13" s="182">
        <v>7</v>
      </c>
      <c r="AO13" s="182">
        <v>7</v>
      </c>
      <c r="AP13" s="183">
        <v>8</v>
      </c>
    </row>
    <row r="14" spans="1:46" s="34" customFormat="1" ht="16.5" thickBot="1">
      <c r="A14" s="36"/>
      <c r="B14" s="78" t="s">
        <v>81</v>
      </c>
      <c r="C14" s="37">
        <f aca="true" t="shared" si="0" ref="C14:AS14">SUM(C15,C17,C31)</f>
        <v>867123564</v>
      </c>
      <c r="D14" s="37">
        <f t="shared" si="0"/>
        <v>172930869.52999997</v>
      </c>
      <c r="E14" s="37">
        <f t="shared" si="0"/>
        <v>62976240.370000005</v>
      </c>
      <c r="F14" s="37">
        <f t="shared" si="0"/>
        <v>89548708.08000001</v>
      </c>
      <c r="G14" s="37">
        <f t="shared" si="0"/>
        <v>24223427.15</v>
      </c>
      <c r="H14" s="37">
        <f t="shared" si="0"/>
        <v>47804212.620000005</v>
      </c>
      <c r="I14" s="37">
        <f t="shared" si="0"/>
        <v>44360900.24000001</v>
      </c>
      <c r="J14" s="37">
        <f t="shared" si="0"/>
        <v>35137739.949999996</v>
      </c>
      <c r="K14" s="37">
        <f t="shared" si="0"/>
        <v>38331077.45</v>
      </c>
      <c r="L14" s="37">
        <f t="shared" si="0"/>
        <v>35404487.07</v>
      </c>
      <c r="M14" s="37">
        <f t="shared" si="0"/>
        <v>73423504.42</v>
      </c>
      <c r="N14" s="37">
        <f t="shared" si="0"/>
        <v>77562852.13</v>
      </c>
      <c r="O14" s="37">
        <f t="shared" si="0"/>
        <v>119810277.6</v>
      </c>
      <c r="P14" s="37">
        <f t="shared" si="0"/>
        <v>821514296.61</v>
      </c>
      <c r="Q14" s="37">
        <f t="shared" si="0"/>
        <v>43311128.7</v>
      </c>
      <c r="R14" s="37">
        <f t="shared" si="0"/>
        <v>79018296.22999999</v>
      </c>
      <c r="S14" s="37">
        <f t="shared" si="0"/>
        <v>109330443.36000001</v>
      </c>
      <c r="T14" s="37">
        <f t="shared" si="0"/>
        <v>33689374.46</v>
      </c>
      <c r="U14" s="37">
        <f t="shared" si="0"/>
        <v>61051903.88</v>
      </c>
      <c r="V14" s="37">
        <f t="shared" si="0"/>
        <v>46548899.900000006</v>
      </c>
      <c r="W14" s="37">
        <f t="shared" si="0"/>
        <v>37750932.089999996</v>
      </c>
      <c r="X14" s="37">
        <f t="shared" si="0"/>
        <v>30563051.57</v>
      </c>
      <c r="Y14" s="37">
        <f t="shared" si="0"/>
        <v>56203583.58</v>
      </c>
      <c r="Z14" s="37">
        <f t="shared" si="0"/>
        <v>85038795.78999999</v>
      </c>
      <c r="AA14" s="37">
        <f t="shared" si="0"/>
        <v>72826450.99</v>
      </c>
      <c r="AB14" s="37">
        <f t="shared" si="0"/>
        <v>100703495.51999998</v>
      </c>
      <c r="AC14" s="37">
        <f t="shared" si="0"/>
        <v>756036356.07</v>
      </c>
      <c r="AD14" s="37">
        <f t="shared" si="0"/>
        <v>32462990.240000002</v>
      </c>
      <c r="AE14" s="37">
        <f t="shared" si="0"/>
        <v>87350371.08999999</v>
      </c>
      <c r="AF14" s="37">
        <f t="shared" si="0"/>
        <v>108327991.25</v>
      </c>
      <c r="AG14" s="37">
        <f t="shared" si="0"/>
        <v>37207890.17</v>
      </c>
      <c r="AH14" s="37">
        <f t="shared" si="0"/>
        <v>60084495.88</v>
      </c>
      <c r="AI14" s="37">
        <f t="shared" si="0"/>
        <v>45240057.900000006</v>
      </c>
      <c r="AJ14" s="37">
        <f t="shared" si="0"/>
        <v>37335819.089999996</v>
      </c>
      <c r="AK14" s="37">
        <f t="shared" si="0"/>
        <v>31555848.53</v>
      </c>
      <c r="AL14" s="37">
        <f t="shared" si="0"/>
        <v>57622964.339999996</v>
      </c>
      <c r="AM14" s="37">
        <f t="shared" si="0"/>
        <v>81810607.34</v>
      </c>
      <c r="AN14" s="37">
        <f t="shared" si="0"/>
        <v>73861650.16</v>
      </c>
      <c r="AO14" s="37">
        <f t="shared" si="0"/>
        <v>101584344.51999998</v>
      </c>
      <c r="AP14" s="37">
        <f t="shared" si="0"/>
        <v>754445030.51</v>
      </c>
      <c r="AQ14" s="37">
        <f t="shared" si="0"/>
        <v>45609267.39000001</v>
      </c>
      <c r="AR14" s="37">
        <f t="shared" si="0"/>
        <v>65477940.53999996</v>
      </c>
      <c r="AS14" s="37">
        <f t="shared" si="0"/>
        <v>1591325.560000062</v>
      </c>
      <c r="AT14" s="200">
        <f>P14/C14</f>
        <v>0.9474016515251799</v>
      </c>
    </row>
    <row r="15" spans="1:46" s="34" customFormat="1" ht="16.5" thickBot="1">
      <c r="A15" s="82"/>
      <c r="B15" s="79" t="s">
        <v>84</v>
      </c>
      <c r="C15" s="38">
        <f>SUM(C16)</f>
        <v>10212300</v>
      </c>
      <c r="D15" s="38">
        <f>SUM(D16)</f>
        <v>0</v>
      </c>
      <c r="E15" s="38">
        <f aca="true" t="shared" si="1" ref="E15:AP15">SUM(E16)</f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  <c r="N15" s="38">
        <f t="shared" si="1"/>
        <v>0</v>
      </c>
      <c r="O15" s="38">
        <f t="shared" si="1"/>
        <v>9542016</v>
      </c>
      <c r="P15" s="38">
        <f t="shared" si="1"/>
        <v>9542016</v>
      </c>
      <c r="Q15" s="38">
        <f t="shared" si="1"/>
        <v>0</v>
      </c>
      <c r="R15" s="38">
        <f t="shared" si="1"/>
        <v>0</v>
      </c>
      <c r="S15" s="38">
        <f t="shared" si="1"/>
        <v>0</v>
      </c>
      <c r="T15" s="38">
        <f t="shared" si="1"/>
        <v>0</v>
      </c>
      <c r="U15" s="38">
        <f t="shared" si="1"/>
        <v>0</v>
      </c>
      <c r="V15" s="38">
        <f t="shared" si="1"/>
        <v>0</v>
      </c>
      <c r="W15" s="38">
        <f t="shared" si="1"/>
        <v>0</v>
      </c>
      <c r="X15" s="38">
        <f t="shared" si="1"/>
        <v>0</v>
      </c>
      <c r="Y15" s="38">
        <f t="shared" si="1"/>
        <v>0</v>
      </c>
      <c r="Z15" s="38">
        <f t="shared" si="1"/>
        <v>0</v>
      </c>
      <c r="AA15" s="38">
        <f t="shared" si="1"/>
        <v>0</v>
      </c>
      <c r="AB15" s="38">
        <f t="shared" si="1"/>
        <v>0</v>
      </c>
      <c r="AC15" s="38">
        <f t="shared" si="1"/>
        <v>0</v>
      </c>
      <c r="AD15" s="38">
        <f>SUM(AD16)</f>
        <v>0</v>
      </c>
      <c r="AE15" s="38">
        <f t="shared" si="1"/>
        <v>0</v>
      </c>
      <c r="AF15" s="38">
        <f t="shared" si="1"/>
        <v>0</v>
      </c>
      <c r="AG15" s="38">
        <f t="shared" si="1"/>
        <v>0</v>
      </c>
      <c r="AH15" s="38">
        <f t="shared" si="1"/>
        <v>0</v>
      </c>
      <c r="AI15" s="38">
        <f t="shared" si="1"/>
        <v>0</v>
      </c>
      <c r="AJ15" s="38">
        <f t="shared" si="1"/>
        <v>0</v>
      </c>
      <c r="AK15" s="38">
        <f t="shared" si="1"/>
        <v>0</v>
      </c>
      <c r="AL15" s="38">
        <f t="shared" si="1"/>
        <v>0</v>
      </c>
      <c r="AM15" s="38">
        <f t="shared" si="1"/>
        <v>0</v>
      </c>
      <c r="AN15" s="38">
        <f t="shared" si="1"/>
        <v>0</v>
      </c>
      <c r="AO15" s="38">
        <f t="shared" si="1"/>
        <v>0</v>
      </c>
      <c r="AP15" s="39">
        <f t="shared" si="1"/>
        <v>0</v>
      </c>
      <c r="AQ15" s="98">
        <f>SUM(AQ16)</f>
        <v>670284</v>
      </c>
      <c r="AR15" s="98">
        <f>SUM(AR16)</f>
        <v>9542016</v>
      </c>
      <c r="AS15" s="98">
        <f>SUM(AS16)</f>
        <v>0</v>
      </c>
      <c r="AT15" s="200">
        <f aca="true" t="shared" si="2" ref="AT15:AT38">P15/C15</f>
        <v>0.9343650304045122</v>
      </c>
    </row>
    <row r="16" spans="1:46" s="12" customFormat="1" ht="15.75" thickBot="1">
      <c r="A16" s="97" t="s">
        <v>297</v>
      </c>
      <c r="B16" s="43" t="s">
        <v>49</v>
      </c>
      <c r="C16" s="55">
        <v>10212300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9542016</v>
      </c>
      <c r="P16" s="32">
        <f aca="true" t="shared" si="3" ref="P16:P33">SUM(D16:O16)</f>
        <v>9542016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6">
        <f aca="true" t="shared" si="4" ref="AC16:AC37">SUM(Q16:AB16)</f>
        <v>0</v>
      </c>
      <c r="AD16" s="55">
        <v>0</v>
      </c>
      <c r="AE16" s="55">
        <v>0</v>
      </c>
      <c r="AF16" s="55">
        <v>0</v>
      </c>
      <c r="AG16" s="55"/>
      <c r="AH16" s="55"/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83">
        <f>SUM(AD16:AO16)</f>
        <v>0</v>
      </c>
      <c r="AQ16" s="47">
        <f>SUM(C16-P16)</f>
        <v>670284</v>
      </c>
      <c r="AR16" s="47">
        <f>P16-AC16</f>
        <v>9542016</v>
      </c>
      <c r="AS16" s="47">
        <f>AC16-AP16</f>
        <v>0</v>
      </c>
      <c r="AT16" s="200">
        <f t="shared" si="2"/>
        <v>0.9343650304045122</v>
      </c>
    </row>
    <row r="17" spans="1:46" s="12" customFormat="1" ht="16.5" thickBot="1">
      <c r="A17" s="82"/>
      <c r="B17" s="79" t="s">
        <v>85</v>
      </c>
      <c r="C17" s="49">
        <f aca="true" t="shared" si="5" ref="C17:AS17">C18+C29</f>
        <v>817382083</v>
      </c>
      <c r="D17" s="49">
        <f t="shared" si="5"/>
        <v>172930869.52999997</v>
      </c>
      <c r="E17" s="49">
        <f t="shared" si="5"/>
        <v>62976240.370000005</v>
      </c>
      <c r="F17" s="49">
        <f t="shared" si="5"/>
        <v>89548708.08000001</v>
      </c>
      <c r="G17" s="108">
        <f t="shared" si="5"/>
        <v>24223427.15</v>
      </c>
      <c r="H17" s="49">
        <f t="shared" si="5"/>
        <v>47804212.620000005</v>
      </c>
      <c r="I17" s="49">
        <f t="shared" si="5"/>
        <v>44360900.24000001</v>
      </c>
      <c r="J17" s="49">
        <f t="shared" si="5"/>
        <v>35137739.949999996</v>
      </c>
      <c r="K17" s="49">
        <f t="shared" si="5"/>
        <v>38331077.45</v>
      </c>
      <c r="L17" s="49">
        <f t="shared" si="5"/>
        <v>35404487.07</v>
      </c>
      <c r="M17" s="49">
        <f t="shared" si="5"/>
        <v>43522726.82</v>
      </c>
      <c r="N17" s="49">
        <f t="shared" si="5"/>
        <v>77562852.13</v>
      </c>
      <c r="O17" s="49">
        <f t="shared" si="5"/>
        <v>110268261.6</v>
      </c>
      <c r="P17" s="49">
        <f t="shared" si="5"/>
        <v>782071503.01</v>
      </c>
      <c r="Q17" s="49">
        <f t="shared" si="5"/>
        <v>43311128.7</v>
      </c>
      <c r="R17" s="49">
        <f t="shared" si="5"/>
        <v>79018296.22999999</v>
      </c>
      <c r="S17" s="49">
        <f t="shared" si="5"/>
        <v>109330443.36000001</v>
      </c>
      <c r="T17" s="49">
        <f t="shared" si="5"/>
        <v>33689374.46</v>
      </c>
      <c r="U17" s="49">
        <f t="shared" si="5"/>
        <v>61051903.88</v>
      </c>
      <c r="V17" s="49">
        <f t="shared" si="5"/>
        <v>46548899.900000006</v>
      </c>
      <c r="W17" s="49">
        <f t="shared" si="5"/>
        <v>37750932.089999996</v>
      </c>
      <c r="X17" s="49">
        <f t="shared" si="5"/>
        <v>30563051.57</v>
      </c>
      <c r="Y17" s="49">
        <f t="shared" si="5"/>
        <v>56203583.58</v>
      </c>
      <c r="Z17" s="49">
        <f t="shared" si="5"/>
        <v>55138018.19</v>
      </c>
      <c r="AA17" s="49">
        <f t="shared" si="5"/>
        <v>72826450.99</v>
      </c>
      <c r="AB17" s="49">
        <f t="shared" si="5"/>
        <v>100703495.51999998</v>
      </c>
      <c r="AC17" s="49">
        <f t="shared" si="5"/>
        <v>726135578.47</v>
      </c>
      <c r="AD17" s="49">
        <f t="shared" si="5"/>
        <v>32462990.240000002</v>
      </c>
      <c r="AE17" s="49">
        <f t="shared" si="5"/>
        <v>87350371.08999999</v>
      </c>
      <c r="AF17" s="49">
        <f t="shared" si="5"/>
        <v>108327991.25</v>
      </c>
      <c r="AG17" s="49">
        <f t="shared" si="5"/>
        <v>37207890.17</v>
      </c>
      <c r="AH17" s="49">
        <f t="shared" si="5"/>
        <v>60084495.88</v>
      </c>
      <c r="AI17" s="49">
        <f t="shared" si="5"/>
        <v>45240057.900000006</v>
      </c>
      <c r="AJ17" s="49">
        <f t="shared" si="5"/>
        <v>37335819.089999996</v>
      </c>
      <c r="AK17" s="49">
        <f t="shared" si="5"/>
        <v>31555848.53</v>
      </c>
      <c r="AL17" s="49">
        <f t="shared" si="5"/>
        <v>57622964.339999996</v>
      </c>
      <c r="AM17" s="49">
        <f t="shared" si="5"/>
        <v>51909829.74</v>
      </c>
      <c r="AN17" s="49">
        <f t="shared" si="5"/>
        <v>73861650.16</v>
      </c>
      <c r="AO17" s="49">
        <f t="shared" si="5"/>
        <v>101584344.51999998</v>
      </c>
      <c r="AP17" s="49">
        <f t="shared" si="5"/>
        <v>724544252.91</v>
      </c>
      <c r="AQ17" s="49">
        <f t="shared" si="5"/>
        <v>35310579.99000001</v>
      </c>
      <c r="AR17" s="49">
        <f t="shared" si="5"/>
        <v>55935924.53999996</v>
      </c>
      <c r="AS17" s="49">
        <f t="shared" si="5"/>
        <v>1591325.560000062</v>
      </c>
      <c r="AT17" s="200">
        <f t="shared" si="2"/>
        <v>0.9568003988289036</v>
      </c>
    </row>
    <row r="18" spans="1:46" s="12" customFormat="1" ht="15.75">
      <c r="A18" s="51" t="s">
        <v>179</v>
      </c>
      <c r="B18" s="229" t="s">
        <v>178</v>
      </c>
      <c r="C18" s="233">
        <f>SUM(C19:C28)</f>
        <v>723125724</v>
      </c>
      <c r="D18" s="233">
        <f aca="true" t="shared" si="6" ref="D18:P18">SUM(D19:D28)</f>
        <v>161941636.89</v>
      </c>
      <c r="E18" s="233">
        <f t="shared" si="6"/>
        <v>57381395.64</v>
      </c>
      <c r="F18" s="233">
        <f t="shared" si="6"/>
        <v>74210270.29</v>
      </c>
      <c r="G18" s="233">
        <f t="shared" si="6"/>
        <v>21859901.58</v>
      </c>
      <c r="H18" s="233">
        <f t="shared" si="6"/>
        <v>23483383.59</v>
      </c>
      <c r="I18" s="233">
        <f t="shared" si="6"/>
        <v>43895108.78000001</v>
      </c>
      <c r="J18" s="233">
        <f t="shared" si="6"/>
        <v>34430539.72</v>
      </c>
      <c r="K18" s="233">
        <f t="shared" si="6"/>
        <v>33386677.310000002</v>
      </c>
      <c r="L18" s="233">
        <f t="shared" si="6"/>
        <v>34055264.14</v>
      </c>
      <c r="M18" s="233">
        <f t="shared" si="6"/>
        <v>42334834.18</v>
      </c>
      <c r="N18" s="233">
        <f t="shared" si="6"/>
        <v>77227999.89999999</v>
      </c>
      <c r="O18" s="233">
        <f t="shared" si="6"/>
        <v>110066049.11999999</v>
      </c>
      <c r="P18" s="233">
        <f t="shared" si="6"/>
        <v>714273061.14</v>
      </c>
      <c r="Q18" s="233">
        <f aca="true" t="shared" si="7" ref="Q18:AL18">SUM(Q19:Q28)</f>
        <v>32321896.06</v>
      </c>
      <c r="R18" s="233">
        <f t="shared" si="7"/>
        <v>75050555.64999999</v>
      </c>
      <c r="S18" s="233">
        <f t="shared" si="7"/>
        <v>93739951.79</v>
      </c>
      <c r="T18" s="233">
        <f t="shared" si="7"/>
        <v>31325848.89</v>
      </c>
      <c r="U18" s="233">
        <f t="shared" si="7"/>
        <v>36731074.85</v>
      </c>
      <c r="V18" s="233">
        <f t="shared" si="7"/>
        <v>46083108.440000005</v>
      </c>
      <c r="W18" s="233">
        <f t="shared" si="7"/>
        <v>37043385.31999999</v>
      </c>
      <c r="X18" s="233">
        <f t="shared" si="7"/>
        <v>25622727.67</v>
      </c>
      <c r="Y18" s="233">
        <f t="shared" si="7"/>
        <v>54854360.65</v>
      </c>
      <c r="Z18" s="233">
        <f t="shared" si="7"/>
        <v>53950125.55</v>
      </c>
      <c r="AA18" s="233">
        <f t="shared" si="7"/>
        <v>72491598.75999999</v>
      </c>
      <c r="AB18" s="233">
        <f t="shared" si="7"/>
        <v>99122502.96999998</v>
      </c>
      <c r="AC18" s="233">
        <f t="shared" si="7"/>
        <v>658337136.6</v>
      </c>
      <c r="AD18" s="233">
        <f t="shared" si="7"/>
        <v>21473757.6</v>
      </c>
      <c r="AE18" s="233">
        <f t="shared" si="7"/>
        <v>83382630.50999999</v>
      </c>
      <c r="AF18" s="233">
        <f t="shared" si="7"/>
        <v>92737499.68</v>
      </c>
      <c r="AG18" s="233">
        <f t="shared" si="7"/>
        <v>34844364.6</v>
      </c>
      <c r="AH18" s="233">
        <f t="shared" si="7"/>
        <v>35763666.85</v>
      </c>
      <c r="AI18" s="233">
        <f t="shared" si="7"/>
        <v>44911266.440000005</v>
      </c>
      <c r="AJ18" s="233">
        <f t="shared" si="7"/>
        <v>36491272.31999999</v>
      </c>
      <c r="AK18" s="233">
        <f t="shared" si="7"/>
        <v>26615524.63</v>
      </c>
      <c r="AL18" s="233">
        <f t="shared" si="7"/>
        <v>56273741.41</v>
      </c>
      <c r="AM18" s="233">
        <f>SUM(AM21:AM28)</f>
        <v>50721937.1</v>
      </c>
      <c r="AN18" s="233">
        <f>SUM(AN21:AN28)</f>
        <v>73526797.92999999</v>
      </c>
      <c r="AO18" s="233">
        <f>SUM(AO21:AO28)</f>
        <v>100003351.96999998</v>
      </c>
      <c r="AP18" s="234">
        <f>SUM(AP19:AP28)</f>
        <v>656745811.04</v>
      </c>
      <c r="AQ18" s="251">
        <f>SUM(C18-P18)</f>
        <v>8852662.860000014</v>
      </c>
      <c r="AR18" s="251">
        <f>P18-AC18</f>
        <v>55935924.53999996</v>
      </c>
      <c r="AS18" s="251">
        <f>AC18-AP18</f>
        <v>1591325.560000062</v>
      </c>
      <c r="AT18" s="200">
        <f t="shared" si="2"/>
        <v>0.9877577818542658</v>
      </c>
    </row>
    <row r="19" spans="1:46" s="12" customFormat="1" ht="15.75">
      <c r="A19" s="51" t="s">
        <v>280</v>
      </c>
      <c r="B19" s="30" t="s">
        <v>289</v>
      </c>
      <c r="C19" s="31">
        <v>42399261.8</v>
      </c>
      <c r="D19" s="233"/>
      <c r="E19" s="233"/>
      <c r="F19" s="233"/>
      <c r="G19" s="239"/>
      <c r="H19" s="233"/>
      <c r="I19" s="233"/>
      <c r="J19" s="233"/>
      <c r="K19" s="233"/>
      <c r="L19" s="233">
        <v>0</v>
      </c>
      <c r="M19" s="233"/>
      <c r="N19" s="233"/>
      <c r="O19" s="31">
        <v>42399261.8</v>
      </c>
      <c r="P19" s="32">
        <f t="shared" si="3"/>
        <v>42399261.8</v>
      </c>
      <c r="Q19" s="233"/>
      <c r="R19" s="233"/>
      <c r="S19" s="233"/>
      <c r="T19" s="233"/>
      <c r="U19" s="233"/>
      <c r="V19" s="233"/>
      <c r="W19" s="233"/>
      <c r="X19" s="233"/>
      <c r="Y19" s="31">
        <v>0</v>
      </c>
      <c r="Z19" s="233"/>
      <c r="AA19" s="233"/>
      <c r="AB19" s="31">
        <v>0</v>
      </c>
      <c r="AC19" s="32">
        <f t="shared" si="4"/>
        <v>0</v>
      </c>
      <c r="AD19" s="233"/>
      <c r="AE19" s="233"/>
      <c r="AF19" s="233"/>
      <c r="AG19" s="233"/>
      <c r="AH19" s="233"/>
      <c r="AI19" s="233"/>
      <c r="AJ19" s="233"/>
      <c r="AK19" s="233"/>
      <c r="AL19" s="31">
        <v>0</v>
      </c>
      <c r="AM19" s="233"/>
      <c r="AN19" s="233"/>
      <c r="AO19" s="31">
        <v>0</v>
      </c>
      <c r="AP19" s="25">
        <f>SUM(AD19:AO19)</f>
        <v>0</v>
      </c>
      <c r="AQ19" s="47">
        <f>SUM(C19-P19)</f>
        <v>0</v>
      </c>
      <c r="AR19" s="47">
        <f aca="true" t="shared" si="8" ref="AR19:AR30">P19-AC19</f>
        <v>42399261.8</v>
      </c>
      <c r="AS19" s="47">
        <f aca="true" t="shared" si="9" ref="AS19:AS30">AC19-AP19</f>
        <v>0</v>
      </c>
      <c r="AT19" s="200">
        <f t="shared" si="2"/>
        <v>1</v>
      </c>
    </row>
    <row r="20" spans="1:46" s="12" customFormat="1" ht="15.75">
      <c r="A20" s="51" t="s">
        <v>290</v>
      </c>
      <c r="B20" s="30" t="s">
        <v>281</v>
      </c>
      <c r="C20" s="31">
        <v>2487562</v>
      </c>
      <c r="D20" s="233"/>
      <c r="E20" s="233"/>
      <c r="F20" s="233"/>
      <c r="G20" s="239"/>
      <c r="H20" s="233"/>
      <c r="I20" s="233"/>
      <c r="J20" s="233"/>
      <c r="K20" s="233"/>
      <c r="L20" s="233"/>
      <c r="M20" s="233"/>
      <c r="N20" s="233"/>
      <c r="O20" s="31">
        <v>1907233.54</v>
      </c>
      <c r="P20" s="32">
        <f t="shared" si="3"/>
        <v>1907233.54</v>
      </c>
      <c r="Q20" s="233"/>
      <c r="R20" s="233"/>
      <c r="S20" s="233"/>
      <c r="T20" s="233"/>
      <c r="U20" s="233"/>
      <c r="V20" s="233"/>
      <c r="W20" s="233"/>
      <c r="X20" s="233"/>
      <c r="Y20" s="31"/>
      <c r="Z20" s="233"/>
      <c r="AA20" s="233"/>
      <c r="AB20" s="31">
        <v>401237.56</v>
      </c>
      <c r="AC20" s="32">
        <f t="shared" si="4"/>
        <v>401237.56</v>
      </c>
      <c r="AD20" s="233"/>
      <c r="AE20" s="233"/>
      <c r="AF20" s="233"/>
      <c r="AG20" s="233"/>
      <c r="AH20" s="233"/>
      <c r="AI20" s="233"/>
      <c r="AJ20" s="233"/>
      <c r="AK20" s="233"/>
      <c r="AL20" s="31"/>
      <c r="AM20" s="233"/>
      <c r="AN20" s="233"/>
      <c r="AO20" s="31">
        <v>0</v>
      </c>
      <c r="AP20" s="25">
        <f>SUM(AD20:AO20)</f>
        <v>0</v>
      </c>
      <c r="AQ20" s="47">
        <f>SUM(C20-P20)</f>
        <v>580328.46</v>
      </c>
      <c r="AR20" s="47">
        <f t="shared" si="8"/>
        <v>1505995.98</v>
      </c>
      <c r="AS20" s="47">
        <f t="shared" si="9"/>
        <v>401237.56</v>
      </c>
      <c r="AT20" s="200">
        <f t="shared" si="2"/>
        <v>0.7667079413498036</v>
      </c>
    </row>
    <row r="21" spans="1:46" s="12" customFormat="1" ht="15">
      <c r="A21" s="51" t="s">
        <v>261</v>
      </c>
      <c r="B21" s="30" t="s">
        <v>237</v>
      </c>
      <c r="C21" s="31">
        <f>89410000-12000000+5550815+1254310.33-3032496.56</f>
        <v>81182628.77</v>
      </c>
      <c r="D21" s="31">
        <v>28592991.09</v>
      </c>
      <c r="E21" s="31">
        <v>11952.17</v>
      </c>
      <c r="F21" s="31">
        <v>11155</v>
      </c>
      <c r="G21" s="103">
        <v>-34079.78</v>
      </c>
      <c r="H21" s="31">
        <v>0</v>
      </c>
      <c r="I21" s="31">
        <v>3628216.9</v>
      </c>
      <c r="J21" s="31">
        <v>5223755</v>
      </c>
      <c r="K21" s="103">
        <v>9660097.05</v>
      </c>
      <c r="L21" s="31">
        <v>2881794.56</v>
      </c>
      <c r="M21" s="31">
        <v>1847837.9</v>
      </c>
      <c r="N21" s="31">
        <v>4369984.79</v>
      </c>
      <c r="O21" s="31">
        <f>25834425.91-1191402.62</f>
        <v>24643023.29</v>
      </c>
      <c r="P21" s="32">
        <f t="shared" si="3"/>
        <v>80836727.97</v>
      </c>
      <c r="Q21" s="31">
        <v>5788845</v>
      </c>
      <c r="R21" s="31">
        <v>5441048.54</v>
      </c>
      <c r="S21" s="31">
        <v>6418881</v>
      </c>
      <c r="T21" s="31">
        <v>2564543.94</v>
      </c>
      <c r="U21" s="31">
        <v>1695084</v>
      </c>
      <c r="V21" s="31">
        <v>957210</v>
      </c>
      <c r="W21" s="31">
        <v>6629269.1</v>
      </c>
      <c r="X21" s="31">
        <v>6934966.47</v>
      </c>
      <c r="Y21" s="31">
        <v>7776925.94</v>
      </c>
      <c r="Z21" s="31">
        <v>3213809.45</v>
      </c>
      <c r="AA21" s="31">
        <v>2234437.24</v>
      </c>
      <c r="AB21" s="31">
        <v>28658822.96</v>
      </c>
      <c r="AC21" s="32">
        <f t="shared" si="4"/>
        <v>78313843.64</v>
      </c>
      <c r="AD21" s="31">
        <v>3000000</v>
      </c>
      <c r="AE21" s="31">
        <v>8229893.54</v>
      </c>
      <c r="AF21" s="31">
        <v>6418881</v>
      </c>
      <c r="AG21" s="31">
        <v>2564543.94</v>
      </c>
      <c r="AH21" s="31">
        <v>1695084</v>
      </c>
      <c r="AI21" s="31">
        <v>906720</v>
      </c>
      <c r="AJ21" s="31">
        <v>5220292.1</v>
      </c>
      <c r="AK21" s="31">
        <v>8157821</v>
      </c>
      <c r="AL21" s="31">
        <v>8013538.41</v>
      </c>
      <c r="AM21" s="31">
        <v>1685155.2</v>
      </c>
      <c r="AN21" s="31">
        <v>2843230.7</v>
      </c>
      <c r="AO21" s="31">
        <v>29438983.75</v>
      </c>
      <c r="AP21" s="25">
        <f>SUM(AD21:AO21)</f>
        <v>78174143.64</v>
      </c>
      <c r="AQ21" s="47">
        <f aca="true" t="shared" si="10" ref="AQ21:AQ30">SUM(C21-P21)</f>
        <v>345900.799999997</v>
      </c>
      <c r="AR21" s="47">
        <f t="shared" si="8"/>
        <v>2522884.329999998</v>
      </c>
      <c r="AS21" s="47">
        <f t="shared" si="9"/>
        <v>139700</v>
      </c>
      <c r="AT21" s="200">
        <f t="shared" si="2"/>
        <v>0.9957392264177602</v>
      </c>
    </row>
    <row r="22" spans="1:46" s="12" customFormat="1" ht="15">
      <c r="A22" s="51" t="s">
        <v>262</v>
      </c>
      <c r="B22" s="30" t="s">
        <v>238</v>
      </c>
      <c r="C22" s="31">
        <f>175815724-12000000+7939623-4580853.29-8876637.72</f>
        <v>158297855.99</v>
      </c>
      <c r="D22" s="31">
        <v>86731659.63</v>
      </c>
      <c r="E22" s="31">
        <v>0</v>
      </c>
      <c r="F22" s="31">
        <v>11632.7</v>
      </c>
      <c r="G22" s="31">
        <v>3160</v>
      </c>
      <c r="H22" s="31">
        <v>4060</v>
      </c>
      <c r="I22" s="31">
        <v>5205662</v>
      </c>
      <c r="J22" s="31">
        <v>10656650.8</v>
      </c>
      <c r="K22" s="103">
        <v>17620901.6</v>
      </c>
      <c r="L22" s="242">
        <v>-7024226.03</v>
      </c>
      <c r="M22" s="31">
        <v>10604950.4</v>
      </c>
      <c r="N22" s="31">
        <v>22644997.94</v>
      </c>
      <c r="O22" s="31">
        <v>11745383.42</v>
      </c>
      <c r="P22" s="32">
        <f t="shared" si="3"/>
        <v>158204832.45999998</v>
      </c>
      <c r="Q22" s="31">
        <v>2117955</v>
      </c>
      <c r="R22" s="31">
        <v>7772026.91</v>
      </c>
      <c r="S22" s="31">
        <v>9418862.42</v>
      </c>
      <c r="T22" s="31">
        <v>7500653.36</v>
      </c>
      <c r="U22" s="31">
        <v>9437170.76</v>
      </c>
      <c r="V22" s="31">
        <v>9004736.96</v>
      </c>
      <c r="W22" s="31">
        <v>9039845.36</v>
      </c>
      <c r="X22" s="31">
        <v>11662589.56</v>
      </c>
      <c r="Y22" s="31">
        <v>12217077.76</v>
      </c>
      <c r="Z22" s="31">
        <v>17425074.44</v>
      </c>
      <c r="AA22" s="31">
        <v>19518753.12</v>
      </c>
      <c r="AB22" s="31">
        <v>33984323.05</v>
      </c>
      <c r="AC22" s="32">
        <f t="shared" si="4"/>
        <v>149099068.7</v>
      </c>
      <c r="AD22" s="31">
        <v>0</v>
      </c>
      <c r="AE22" s="31">
        <v>9099981.91</v>
      </c>
      <c r="AF22" s="31">
        <v>9193862.42</v>
      </c>
      <c r="AG22" s="31">
        <v>8515653.36</v>
      </c>
      <c r="AH22" s="31">
        <v>8647170.76</v>
      </c>
      <c r="AI22" s="31">
        <v>7874936.96</v>
      </c>
      <c r="AJ22" s="31">
        <v>9888261.36</v>
      </c>
      <c r="AK22" s="31">
        <v>11456714.36</v>
      </c>
      <c r="AL22" s="31">
        <v>13473576.09</v>
      </c>
      <c r="AM22" s="31">
        <v>16207414.44</v>
      </c>
      <c r="AN22" s="31">
        <v>19728633.99</v>
      </c>
      <c r="AO22" s="31">
        <v>34951624.05</v>
      </c>
      <c r="AP22" s="33">
        <f aca="true" t="shared" si="11" ref="AP22:AP28">SUM(AD22:AO22)</f>
        <v>149037829.7</v>
      </c>
      <c r="AQ22" s="47">
        <f t="shared" si="10"/>
        <v>93023.530000031</v>
      </c>
      <c r="AR22" s="47">
        <f t="shared" si="8"/>
        <v>9105763.75999999</v>
      </c>
      <c r="AS22" s="47">
        <f t="shared" si="9"/>
        <v>61239</v>
      </c>
      <c r="AT22" s="200">
        <f t="shared" si="2"/>
        <v>0.999412351295485</v>
      </c>
    </row>
    <row r="23" spans="1:46" s="12" customFormat="1" ht="15">
      <c r="A23" s="51" t="s">
        <v>263</v>
      </c>
      <c r="B23" s="30" t="s">
        <v>258</v>
      </c>
      <c r="C23" s="31">
        <f>30700000-2449800-1614921.48-2338652.8</f>
        <v>24296625.72</v>
      </c>
      <c r="D23" s="31">
        <v>12005872</v>
      </c>
      <c r="E23" s="31">
        <v>398600</v>
      </c>
      <c r="F23" s="31">
        <v>405.5</v>
      </c>
      <c r="G23" s="31">
        <v>675.84</v>
      </c>
      <c r="H23" s="31">
        <v>1353.08</v>
      </c>
      <c r="I23" s="31">
        <v>399353.85</v>
      </c>
      <c r="J23" s="31">
        <v>770436.27</v>
      </c>
      <c r="K23" s="103">
        <v>949741.32</v>
      </c>
      <c r="L23" s="31">
        <v>945728.36</v>
      </c>
      <c r="M23" s="31">
        <v>4309456.4</v>
      </c>
      <c r="N23" s="31">
        <v>919624</v>
      </c>
      <c r="O23" s="31">
        <v>2934760.18</v>
      </c>
      <c r="P23" s="32">
        <f t="shared" si="3"/>
        <v>23636006.799999997</v>
      </c>
      <c r="Q23" s="31">
        <v>101376</v>
      </c>
      <c r="R23" s="31">
        <v>2689000</v>
      </c>
      <c r="S23" s="31">
        <v>1170181.5</v>
      </c>
      <c r="T23" s="31">
        <v>133011.07</v>
      </c>
      <c r="U23" s="31">
        <v>454678.58</v>
      </c>
      <c r="V23" s="31">
        <v>791588.45</v>
      </c>
      <c r="W23" s="31">
        <v>1059042.61</v>
      </c>
      <c r="X23" s="31">
        <v>1251002.82</v>
      </c>
      <c r="Y23" s="31">
        <v>2436130.86</v>
      </c>
      <c r="Z23" s="31">
        <v>5545850.5</v>
      </c>
      <c r="AA23" s="31">
        <v>1145567.23</v>
      </c>
      <c r="AB23" s="31">
        <v>6456558.51</v>
      </c>
      <c r="AC23" s="32">
        <f t="shared" si="4"/>
        <v>23233988.130000003</v>
      </c>
      <c r="AD23" s="31">
        <v>0</v>
      </c>
      <c r="AE23" s="31">
        <v>2621416</v>
      </c>
      <c r="AF23" s="31">
        <v>1153285.5</v>
      </c>
      <c r="AG23" s="31">
        <v>318867.07</v>
      </c>
      <c r="AH23" s="31">
        <v>277270.58</v>
      </c>
      <c r="AI23" s="31">
        <v>800036.45</v>
      </c>
      <c r="AJ23" s="31">
        <v>1067490.61</v>
      </c>
      <c r="AK23" s="31">
        <v>1230695.23</v>
      </c>
      <c r="AL23" s="31">
        <v>2434669.4</v>
      </c>
      <c r="AM23" s="31">
        <v>5285016.94</v>
      </c>
      <c r="AN23" s="31">
        <v>1416308.07</v>
      </c>
      <c r="AO23" s="31">
        <v>5840231.28</v>
      </c>
      <c r="AP23" s="33">
        <f t="shared" si="11"/>
        <v>22445287.130000003</v>
      </c>
      <c r="AQ23" s="47">
        <f t="shared" si="10"/>
        <v>660618.9200000018</v>
      </c>
      <c r="AR23" s="47">
        <f t="shared" si="8"/>
        <v>402018.66999999434</v>
      </c>
      <c r="AS23" s="47">
        <f t="shared" si="9"/>
        <v>788701</v>
      </c>
      <c r="AT23" s="200">
        <f t="shared" si="2"/>
        <v>0.9728102606669284</v>
      </c>
    </row>
    <row r="24" spans="1:46" s="12" customFormat="1" ht="15">
      <c r="A24" s="51" t="s">
        <v>264</v>
      </c>
      <c r="B24" s="30" t="s">
        <v>259</v>
      </c>
      <c r="C24" s="31">
        <f>28200000+550000-1000512.62-151474.72</f>
        <v>27598012.66</v>
      </c>
      <c r="D24" s="31">
        <v>13104530.11</v>
      </c>
      <c r="E24" s="31">
        <v>0.01</v>
      </c>
      <c r="F24" s="31">
        <v>6840</v>
      </c>
      <c r="G24" s="31">
        <v>1261024</v>
      </c>
      <c r="H24" s="31">
        <v>630512</v>
      </c>
      <c r="I24" s="31">
        <v>874484</v>
      </c>
      <c r="J24" s="31">
        <v>682724</v>
      </c>
      <c r="K24" s="103">
        <v>1112934.4</v>
      </c>
      <c r="L24" s="31">
        <v>5724567.04</v>
      </c>
      <c r="M24" s="31">
        <v>0</v>
      </c>
      <c r="N24" s="31">
        <v>1676680</v>
      </c>
      <c r="O24" s="31">
        <v>1724140.02</v>
      </c>
      <c r="P24" s="32">
        <f t="shared" si="3"/>
        <v>26798435.58</v>
      </c>
      <c r="Q24" s="31">
        <v>5239000</v>
      </c>
      <c r="R24" s="31">
        <v>4247772.74</v>
      </c>
      <c r="S24" s="31">
        <v>1040903.78</v>
      </c>
      <c r="T24" s="31">
        <v>0</v>
      </c>
      <c r="U24" s="31">
        <v>1798164</v>
      </c>
      <c r="V24" s="31">
        <v>1562224</v>
      </c>
      <c r="W24" s="31">
        <v>2201173.6</v>
      </c>
      <c r="X24" s="31">
        <v>1394054.4</v>
      </c>
      <c r="Y24" s="31">
        <v>265899.36</v>
      </c>
      <c r="Z24" s="31">
        <v>5648423.68</v>
      </c>
      <c r="AA24" s="31">
        <v>498988</v>
      </c>
      <c r="AB24" s="31">
        <v>2901832.02</v>
      </c>
      <c r="AC24" s="32">
        <f t="shared" si="4"/>
        <v>26798435.58</v>
      </c>
      <c r="AD24" s="31">
        <v>3000000</v>
      </c>
      <c r="AE24" s="31">
        <v>6486772.74</v>
      </c>
      <c r="AF24" s="31">
        <v>1040903.78</v>
      </c>
      <c r="AG24" s="31">
        <v>0</v>
      </c>
      <c r="AH24" s="31">
        <v>1798164</v>
      </c>
      <c r="AI24" s="31">
        <v>1562224</v>
      </c>
      <c r="AJ24" s="31">
        <v>2201173.6</v>
      </c>
      <c r="AK24" s="31">
        <v>1394054.4</v>
      </c>
      <c r="AL24" s="31">
        <v>189756</v>
      </c>
      <c r="AM24" s="31">
        <v>5724567.04</v>
      </c>
      <c r="AN24" s="31">
        <v>498988</v>
      </c>
      <c r="AO24" s="31">
        <v>2901832.02</v>
      </c>
      <c r="AP24" s="33">
        <f t="shared" si="11"/>
        <v>26798435.58</v>
      </c>
      <c r="AQ24" s="47">
        <f t="shared" si="10"/>
        <v>799577.0800000019</v>
      </c>
      <c r="AR24" s="47">
        <f t="shared" si="8"/>
        <v>0</v>
      </c>
      <c r="AS24" s="47">
        <f t="shared" si="9"/>
        <v>0</v>
      </c>
      <c r="AT24" s="200">
        <f t="shared" si="2"/>
        <v>0.9710277297916131</v>
      </c>
    </row>
    <row r="25" spans="1:46" s="12" customFormat="1" ht="15">
      <c r="A25" s="51" t="s">
        <v>265</v>
      </c>
      <c r="B25" s="30" t="s">
        <v>241</v>
      </c>
      <c r="C25" s="31">
        <f>371000000+4164549.06-28000000</f>
        <v>347164549.06</v>
      </c>
      <c r="D25" s="31">
        <v>20580720.06</v>
      </c>
      <c r="E25" s="31">
        <v>48180015.18</v>
      </c>
      <c r="F25" s="31">
        <v>74111853.65</v>
      </c>
      <c r="G25" s="31">
        <v>20629121.52</v>
      </c>
      <c r="H25" s="31">
        <v>22847458.51</v>
      </c>
      <c r="I25" s="31">
        <v>32835849.01</v>
      </c>
      <c r="J25" s="31">
        <v>17054053.65</v>
      </c>
      <c r="K25" s="103">
        <v>4013831.26</v>
      </c>
      <c r="L25" s="31">
        <v>31527400.21</v>
      </c>
      <c r="M25" s="31">
        <v>23580528.98</v>
      </c>
      <c r="N25" s="31">
        <v>22551668.43</v>
      </c>
      <c r="O25" s="31">
        <v>23813518.63</v>
      </c>
      <c r="P25" s="32">
        <f t="shared" si="3"/>
        <v>341726019.09</v>
      </c>
      <c r="Q25" s="31">
        <v>19074720.06</v>
      </c>
      <c r="R25" s="31">
        <v>45686015.18</v>
      </c>
      <c r="S25" s="31">
        <v>75120739.65</v>
      </c>
      <c r="T25" s="31">
        <v>21127640.52</v>
      </c>
      <c r="U25" s="31">
        <v>23345977.51</v>
      </c>
      <c r="V25" s="31">
        <v>33334368.01</v>
      </c>
      <c r="W25" s="31">
        <v>17552572.65</v>
      </c>
      <c r="X25" s="31">
        <v>4379942.74</v>
      </c>
      <c r="Y25" s="31">
        <v>32158326.73</v>
      </c>
      <c r="Z25" s="31">
        <v>20827706.98</v>
      </c>
      <c r="AA25" s="31">
        <v>23648408.43</v>
      </c>
      <c r="AB25" s="31">
        <v>25469600.63</v>
      </c>
      <c r="AC25" s="32">
        <f t="shared" si="4"/>
        <v>341726019.09000003</v>
      </c>
      <c r="AD25" s="31">
        <v>15473757.6</v>
      </c>
      <c r="AE25" s="31">
        <v>47729874.04</v>
      </c>
      <c r="AF25" s="31">
        <v>74360183.54</v>
      </c>
      <c r="AG25" s="31">
        <v>23445300.23</v>
      </c>
      <c r="AH25" s="31">
        <v>23345977.51</v>
      </c>
      <c r="AI25" s="31">
        <v>33334368.01</v>
      </c>
      <c r="AJ25" s="31">
        <v>17552572.65</v>
      </c>
      <c r="AK25" s="31">
        <v>4376067.96</v>
      </c>
      <c r="AL25" s="31">
        <v>32162201.51</v>
      </c>
      <c r="AM25" s="31">
        <v>20827706.98</v>
      </c>
      <c r="AN25" s="31">
        <v>23648408.43</v>
      </c>
      <c r="AO25" s="31">
        <v>25469600.63</v>
      </c>
      <c r="AP25" s="33">
        <f t="shared" si="11"/>
        <v>341726019.09000003</v>
      </c>
      <c r="AQ25" s="47">
        <f t="shared" si="10"/>
        <v>5438529.970000029</v>
      </c>
      <c r="AR25" s="47">
        <f t="shared" si="8"/>
        <v>0</v>
      </c>
      <c r="AS25" s="47">
        <f t="shared" si="9"/>
        <v>0</v>
      </c>
      <c r="AT25" s="200">
        <f t="shared" si="2"/>
        <v>0.9843344316557504</v>
      </c>
    </row>
    <row r="26" spans="1:46" s="12" customFormat="1" ht="15">
      <c r="A26" s="51" t="s">
        <v>266</v>
      </c>
      <c r="B26" s="30" t="s">
        <v>242</v>
      </c>
      <c r="C26" s="31">
        <f>12000000+24000000</f>
        <v>36000000</v>
      </c>
      <c r="D26" s="31">
        <v>0</v>
      </c>
      <c r="E26" s="31">
        <v>8802892.28</v>
      </c>
      <c r="F26" s="31">
        <v>68383.44</v>
      </c>
      <c r="G26" s="31">
        <v>0</v>
      </c>
      <c r="H26" s="31">
        <v>0</v>
      </c>
      <c r="I26" s="31">
        <v>432981.02</v>
      </c>
      <c r="J26" s="31">
        <v>42920</v>
      </c>
      <c r="K26" s="103">
        <v>171.68</v>
      </c>
      <c r="L26" s="31">
        <v>0</v>
      </c>
      <c r="M26" s="31">
        <v>992076.5</v>
      </c>
      <c r="N26" s="31">
        <v>25065044.74</v>
      </c>
      <c r="O26" s="31">
        <v>159947.24</v>
      </c>
      <c r="P26" s="32">
        <f t="shared" si="3"/>
        <v>35564416.9</v>
      </c>
      <c r="Q26" s="31">
        <v>0</v>
      </c>
      <c r="R26" s="31">
        <v>8802892.28</v>
      </c>
      <c r="S26" s="31">
        <v>68383.44</v>
      </c>
      <c r="T26" s="31">
        <v>0</v>
      </c>
      <c r="U26" s="31">
        <v>0</v>
      </c>
      <c r="V26" s="31">
        <v>432981.02</v>
      </c>
      <c r="W26" s="31">
        <v>42920</v>
      </c>
      <c r="X26" s="31">
        <v>171.68</v>
      </c>
      <c r="Y26" s="31">
        <v>0</v>
      </c>
      <c r="Z26" s="31">
        <v>992076.5</v>
      </c>
      <c r="AA26" s="31">
        <v>25065044.74</v>
      </c>
      <c r="AB26" s="31">
        <v>159947.24</v>
      </c>
      <c r="AC26" s="32">
        <f t="shared" si="4"/>
        <v>35564416.9</v>
      </c>
      <c r="AD26" s="31">
        <v>0</v>
      </c>
      <c r="AE26" s="31">
        <v>8802892.28</v>
      </c>
      <c r="AF26" s="31">
        <v>68383.44</v>
      </c>
      <c r="AG26" s="31">
        <v>0</v>
      </c>
      <c r="AH26" s="31">
        <v>0</v>
      </c>
      <c r="AI26" s="31">
        <v>432981.02</v>
      </c>
      <c r="AJ26" s="31">
        <v>42920</v>
      </c>
      <c r="AK26" s="31">
        <v>171.68</v>
      </c>
      <c r="AL26" s="31">
        <v>0</v>
      </c>
      <c r="AM26" s="31">
        <v>992076.5</v>
      </c>
      <c r="AN26" s="31">
        <v>25065044.74</v>
      </c>
      <c r="AO26" s="31">
        <v>159947.24</v>
      </c>
      <c r="AP26" s="33">
        <f t="shared" si="11"/>
        <v>35564416.9</v>
      </c>
      <c r="AQ26" s="47">
        <f t="shared" si="10"/>
        <v>435583.1000000015</v>
      </c>
      <c r="AR26" s="47">
        <f t="shared" si="8"/>
        <v>0</v>
      </c>
      <c r="AS26" s="47">
        <f t="shared" si="9"/>
        <v>0</v>
      </c>
      <c r="AT26" s="200">
        <f t="shared" si="2"/>
        <v>0.9879004694444444</v>
      </c>
    </row>
    <row r="27" spans="1:46" s="12" customFormat="1" ht="15">
      <c r="A27" s="51" t="s">
        <v>273</v>
      </c>
      <c r="B27" s="30" t="s">
        <v>234</v>
      </c>
      <c r="C27" s="31">
        <f>450000+88333</f>
        <v>538333</v>
      </c>
      <c r="D27" s="31"/>
      <c r="E27" s="31"/>
      <c r="F27" s="31"/>
      <c r="G27" s="31"/>
      <c r="H27" s="31">
        <v>0</v>
      </c>
      <c r="I27" s="31">
        <v>0</v>
      </c>
      <c r="J27" s="31">
        <v>0</v>
      </c>
      <c r="K27" s="103">
        <v>0</v>
      </c>
      <c r="L27" s="31">
        <v>0</v>
      </c>
      <c r="M27" s="31">
        <v>0</v>
      </c>
      <c r="N27" s="31">
        <v>0</v>
      </c>
      <c r="O27" s="31">
        <v>538333</v>
      </c>
      <c r="P27" s="32">
        <f t="shared" si="3"/>
        <v>538333</v>
      </c>
      <c r="Q27" s="31"/>
      <c r="R27" s="31"/>
      <c r="S27" s="31"/>
      <c r="T27" s="31"/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538333</v>
      </c>
      <c r="AC27" s="32">
        <f t="shared" si="4"/>
        <v>538333</v>
      </c>
      <c r="AD27" s="31"/>
      <c r="AE27" s="31"/>
      <c r="AF27" s="31"/>
      <c r="AG27" s="31"/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538333</v>
      </c>
      <c r="AP27" s="33">
        <f t="shared" si="11"/>
        <v>538333</v>
      </c>
      <c r="AQ27" s="47">
        <f>SUM(C27-P27)</f>
        <v>0</v>
      </c>
      <c r="AR27" s="47">
        <f t="shared" si="8"/>
        <v>0</v>
      </c>
      <c r="AS27" s="47">
        <f t="shared" si="9"/>
        <v>0</v>
      </c>
      <c r="AT27" s="200">
        <f t="shared" si="2"/>
        <v>1</v>
      </c>
    </row>
    <row r="28" spans="1:46" s="12" customFormat="1" ht="15">
      <c r="A28" s="51" t="s">
        <v>267</v>
      </c>
      <c r="B28" s="22" t="s">
        <v>260</v>
      </c>
      <c r="C28" s="23">
        <f>16000000-1000000-11040638-798467</f>
        <v>3160895</v>
      </c>
      <c r="D28" s="23">
        <v>925864</v>
      </c>
      <c r="E28" s="158">
        <v>-12064</v>
      </c>
      <c r="F28" s="23">
        <v>0</v>
      </c>
      <c r="G28" s="158">
        <v>0</v>
      </c>
      <c r="H28" s="23">
        <v>0</v>
      </c>
      <c r="I28" s="45">
        <v>518562</v>
      </c>
      <c r="J28" s="23">
        <v>0</v>
      </c>
      <c r="K28" s="23">
        <v>29000</v>
      </c>
      <c r="L28" s="23">
        <v>0</v>
      </c>
      <c r="M28" s="23">
        <v>999984</v>
      </c>
      <c r="N28" s="23">
        <v>0</v>
      </c>
      <c r="O28" s="23">
        <v>200448</v>
      </c>
      <c r="P28" s="32">
        <f t="shared" si="3"/>
        <v>2661794</v>
      </c>
      <c r="Q28" s="23">
        <v>0</v>
      </c>
      <c r="R28" s="23">
        <v>411800</v>
      </c>
      <c r="S28" s="23">
        <v>502000</v>
      </c>
      <c r="T28" s="158">
        <v>0</v>
      </c>
      <c r="U28" s="23">
        <v>0</v>
      </c>
      <c r="V28" s="23">
        <v>0</v>
      </c>
      <c r="W28" s="23">
        <v>518562</v>
      </c>
      <c r="X28" s="23">
        <v>0</v>
      </c>
      <c r="Y28" s="23">
        <v>0</v>
      </c>
      <c r="Z28" s="23">
        <v>297184</v>
      </c>
      <c r="AA28" s="23">
        <v>380400</v>
      </c>
      <c r="AB28" s="23">
        <v>551848</v>
      </c>
      <c r="AC28" s="32">
        <f t="shared" si="4"/>
        <v>2661794</v>
      </c>
      <c r="AD28" s="23">
        <v>0</v>
      </c>
      <c r="AE28" s="23">
        <v>411800</v>
      </c>
      <c r="AF28" s="23">
        <v>502000</v>
      </c>
      <c r="AG28" s="158">
        <v>0</v>
      </c>
      <c r="AH28" s="45">
        <v>0</v>
      </c>
      <c r="AI28" s="23">
        <v>0</v>
      </c>
      <c r="AJ28" s="23">
        <v>518562</v>
      </c>
      <c r="AK28" s="31">
        <v>0</v>
      </c>
      <c r="AL28" s="23">
        <v>0</v>
      </c>
      <c r="AM28" s="23">
        <v>0</v>
      </c>
      <c r="AN28" s="23">
        <v>326184</v>
      </c>
      <c r="AO28" s="23">
        <v>702800</v>
      </c>
      <c r="AP28" s="33">
        <f t="shared" si="11"/>
        <v>2461346</v>
      </c>
      <c r="AQ28" s="47">
        <f>SUM(C28-P28)</f>
        <v>499101</v>
      </c>
      <c r="AR28" s="47">
        <f t="shared" si="8"/>
        <v>0</v>
      </c>
      <c r="AS28" s="47">
        <f t="shared" si="9"/>
        <v>200448</v>
      </c>
      <c r="AT28" s="200">
        <f t="shared" si="2"/>
        <v>0.8421013668597027</v>
      </c>
    </row>
    <row r="29" spans="1:46" s="12" customFormat="1" ht="15.75">
      <c r="A29" s="51" t="s">
        <v>64</v>
      </c>
      <c r="B29" s="230" t="s">
        <v>65</v>
      </c>
      <c r="C29" s="231">
        <f>C30</f>
        <v>94256359</v>
      </c>
      <c r="D29" s="231">
        <f aca="true" t="shared" si="12" ref="D29:AP29">D30</f>
        <v>10989232.64</v>
      </c>
      <c r="E29" s="231">
        <f t="shared" si="12"/>
        <v>5594844.73</v>
      </c>
      <c r="F29" s="231">
        <f t="shared" si="12"/>
        <v>15338437.79</v>
      </c>
      <c r="G29" s="231">
        <f t="shared" si="12"/>
        <v>2363525.57</v>
      </c>
      <c r="H29" s="231">
        <f t="shared" si="12"/>
        <v>24320829.03</v>
      </c>
      <c r="I29" s="231">
        <f t="shared" si="12"/>
        <v>465791.46</v>
      </c>
      <c r="J29" s="231">
        <f t="shared" si="12"/>
        <v>707200.23</v>
      </c>
      <c r="K29" s="231">
        <f t="shared" si="12"/>
        <v>4944400.14</v>
      </c>
      <c r="L29" s="231">
        <f t="shared" si="12"/>
        <v>1349222.93</v>
      </c>
      <c r="M29" s="231">
        <f t="shared" si="12"/>
        <v>1187892.64</v>
      </c>
      <c r="N29" s="231">
        <f t="shared" si="12"/>
        <v>334852.23</v>
      </c>
      <c r="O29" s="250">
        <f t="shared" si="12"/>
        <v>202212.48</v>
      </c>
      <c r="P29" s="231">
        <f t="shared" si="12"/>
        <v>67798441.87</v>
      </c>
      <c r="Q29" s="231">
        <f t="shared" si="12"/>
        <v>10989232.64</v>
      </c>
      <c r="R29" s="231">
        <f t="shared" si="12"/>
        <v>3967740.58</v>
      </c>
      <c r="S29" s="231">
        <f t="shared" si="12"/>
        <v>15590491.57</v>
      </c>
      <c r="T29" s="231">
        <f t="shared" si="12"/>
        <v>2363525.57</v>
      </c>
      <c r="U29" s="231">
        <f t="shared" si="12"/>
        <v>24320829.03</v>
      </c>
      <c r="V29" s="231">
        <f t="shared" si="12"/>
        <v>465791.46</v>
      </c>
      <c r="W29" s="231">
        <f t="shared" si="12"/>
        <v>707546.77</v>
      </c>
      <c r="X29" s="231">
        <f t="shared" si="12"/>
        <v>4940323.9</v>
      </c>
      <c r="Y29" s="231">
        <f t="shared" si="12"/>
        <v>1349222.93</v>
      </c>
      <c r="Z29" s="231">
        <f t="shared" si="12"/>
        <v>1187892.64</v>
      </c>
      <c r="AA29" s="231">
        <f t="shared" si="12"/>
        <v>334852.23</v>
      </c>
      <c r="AB29" s="231">
        <f t="shared" si="12"/>
        <v>1580992.55</v>
      </c>
      <c r="AC29" s="231">
        <f t="shared" si="12"/>
        <v>67798441.87</v>
      </c>
      <c r="AD29" s="231">
        <f t="shared" si="12"/>
        <v>10989232.64</v>
      </c>
      <c r="AE29" s="231">
        <f t="shared" si="12"/>
        <v>3967740.58</v>
      </c>
      <c r="AF29" s="231">
        <f t="shared" si="12"/>
        <v>15590491.57</v>
      </c>
      <c r="AG29" s="231">
        <f t="shared" si="12"/>
        <v>2363525.57</v>
      </c>
      <c r="AH29" s="231">
        <f t="shared" si="12"/>
        <v>24320829.03</v>
      </c>
      <c r="AI29" s="231">
        <f t="shared" si="12"/>
        <v>328791.46</v>
      </c>
      <c r="AJ29" s="231">
        <f t="shared" si="12"/>
        <v>844546.77</v>
      </c>
      <c r="AK29" s="231">
        <f t="shared" si="12"/>
        <v>4940323.9</v>
      </c>
      <c r="AL29" s="231">
        <f t="shared" si="12"/>
        <v>1349222.93</v>
      </c>
      <c r="AM29" s="231">
        <f t="shared" si="12"/>
        <v>1187892.64</v>
      </c>
      <c r="AN29" s="231">
        <f t="shared" si="12"/>
        <v>334852.23</v>
      </c>
      <c r="AO29" s="231">
        <f t="shared" si="12"/>
        <v>1580992.55</v>
      </c>
      <c r="AP29" s="232">
        <f t="shared" si="12"/>
        <v>67798441.87</v>
      </c>
      <c r="AQ29" s="251">
        <f>SUM(C29-P29)</f>
        <v>26457917.129999995</v>
      </c>
      <c r="AR29" s="47">
        <f t="shared" si="8"/>
        <v>0</v>
      </c>
      <c r="AS29" s="47">
        <f t="shared" si="9"/>
        <v>0</v>
      </c>
      <c r="AT29" s="200">
        <f t="shared" si="2"/>
        <v>0.7192983326461826</v>
      </c>
    </row>
    <row r="30" spans="1:46" s="12" customFormat="1" ht="15.75" thickBot="1">
      <c r="A30" s="51" t="s">
        <v>268</v>
      </c>
      <c r="B30" s="226" t="s">
        <v>269</v>
      </c>
      <c r="C30" s="23">
        <v>94256359</v>
      </c>
      <c r="D30" s="23">
        <v>10989232.64</v>
      </c>
      <c r="E30" s="55">
        <v>5594844.73</v>
      </c>
      <c r="F30" s="55">
        <v>15338437.79</v>
      </c>
      <c r="G30" s="227">
        <v>2363525.57</v>
      </c>
      <c r="H30" s="55">
        <v>24320829.03</v>
      </c>
      <c r="I30" s="228">
        <v>465791.46</v>
      </c>
      <c r="J30" s="55">
        <v>707200.23</v>
      </c>
      <c r="K30" s="55">
        <v>4944400.14</v>
      </c>
      <c r="L30" s="55">
        <v>1349222.93</v>
      </c>
      <c r="M30" s="55">
        <v>1187892.64</v>
      </c>
      <c r="N30" s="55">
        <v>334852.23</v>
      </c>
      <c r="O30" s="249">
        <v>202212.48</v>
      </c>
      <c r="P30" s="32">
        <f t="shared" si="3"/>
        <v>67798441.87</v>
      </c>
      <c r="Q30" s="23">
        <v>10989232.64</v>
      </c>
      <c r="R30" s="55">
        <v>3967740.58</v>
      </c>
      <c r="S30" s="55">
        <v>15590491.57</v>
      </c>
      <c r="T30" s="158">
        <v>2363525.57</v>
      </c>
      <c r="U30" s="55">
        <v>24320829.03</v>
      </c>
      <c r="V30" s="55">
        <v>465791.46</v>
      </c>
      <c r="W30" s="55">
        <v>707546.77</v>
      </c>
      <c r="X30" s="55">
        <v>4940323.9</v>
      </c>
      <c r="Y30" s="55">
        <v>1349222.93</v>
      </c>
      <c r="Z30" s="55">
        <v>1187892.64</v>
      </c>
      <c r="AA30" s="55">
        <v>334852.23</v>
      </c>
      <c r="AB30" s="55">
        <v>1580992.55</v>
      </c>
      <c r="AC30" s="24">
        <f t="shared" si="4"/>
        <v>67798441.87</v>
      </c>
      <c r="AD30" s="23">
        <v>10989232.64</v>
      </c>
      <c r="AE30" s="55">
        <v>3967740.58</v>
      </c>
      <c r="AF30" s="55">
        <v>15590491.57</v>
      </c>
      <c r="AG30" s="227">
        <v>2363525.57</v>
      </c>
      <c r="AH30" s="228">
        <v>24320829.03</v>
      </c>
      <c r="AI30" s="55">
        <v>328791.46</v>
      </c>
      <c r="AJ30" s="55">
        <v>844546.77</v>
      </c>
      <c r="AK30" s="55">
        <v>4940323.9</v>
      </c>
      <c r="AL30" s="55">
        <v>1349222.93</v>
      </c>
      <c r="AM30" s="55">
        <v>1187892.64</v>
      </c>
      <c r="AN30" s="55">
        <v>334852.23</v>
      </c>
      <c r="AO30" s="55">
        <v>1580992.55</v>
      </c>
      <c r="AP30" s="25">
        <f>SUM(AD30:AO30)</f>
        <v>67798441.87</v>
      </c>
      <c r="AQ30" s="47">
        <f t="shared" si="10"/>
        <v>26457917.129999995</v>
      </c>
      <c r="AR30" s="47">
        <f t="shared" si="8"/>
        <v>0</v>
      </c>
      <c r="AS30" s="47">
        <f t="shared" si="9"/>
        <v>0</v>
      </c>
      <c r="AT30" s="200">
        <f t="shared" si="2"/>
        <v>0.7192983326461826</v>
      </c>
    </row>
    <row r="31" spans="1:46" s="53" customFormat="1" ht="16.5" thickBot="1">
      <c r="A31" s="41"/>
      <c r="B31" s="79" t="s">
        <v>115</v>
      </c>
      <c r="C31" s="38">
        <f>SUM(C32:C33)</f>
        <v>39529181</v>
      </c>
      <c r="D31" s="38">
        <f aca="true" t="shared" si="13" ref="D31:AO31">SUM(D32:D33)</f>
        <v>0</v>
      </c>
      <c r="E31" s="38">
        <f t="shared" si="13"/>
        <v>0</v>
      </c>
      <c r="F31" s="38">
        <f t="shared" si="13"/>
        <v>0</v>
      </c>
      <c r="G31" s="38">
        <f t="shared" si="13"/>
        <v>0</v>
      </c>
      <c r="H31" s="38">
        <f t="shared" si="13"/>
        <v>0</v>
      </c>
      <c r="I31" s="38">
        <f t="shared" si="13"/>
        <v>0</v>
      </c>
      <c r="J31" s="38">
        <f t="shared" si="13"/>
        <v>0</v>
      </c>
      <c r="K31" s="38">
        <f t="shared" si="13"/>
        <v>0</v>
      </c>
      <c r="L31" s="38">
        <f t="shared" si="13"/>
        <v>0</v>
      </c>
      <c r="M31" s="38">
        <f t="shared" si="13"/>
        <v>29900777.6</v>
      </c>
      <c r="N31" s="38">
        <f t="shared" si="13"/>
        <v>0</v>
      </c>
      <c r="O31" s="38">
        <f t="shared" si="13"/>
        <v>0</v>
      </c>
      <c r="P31" s="38">
        <f t="shared" si="13"/>
        <v>29900777.6</v>
      </c>
      <c r="Q31" s="38">
        <f t="shared" si="13"/>
        <v>0</v>
      </c>
      <c r="R31" s="38">
        <f t="shared" si="13"/>
        <v>0</v>
      </c>
      <c r="S31" s="38">
        <f t="shared" si="13"/>
        <v>0</v>
      </c>
      <c r="T31" s="38">
        <f t="shared" si="13"/>
        <v>0</v>
      </c>
      <c r="U31" s="38">
        <f t="shared" si="13"/>
        <v>0</v>
      </c>
      <c r="V31" s="38">
        <f t="shared" si="13"/>
        <v>0</v>
      </c>
      <c r="W31" s="38">
        <f t="shared" si="13"/>
        <v>0</v>
      </c>
      <c r="X31" s="38">
        <f t="shared" si="13"/>
        <v>0</v>
      </c>
      <c r="Y31" s="38">
        <f t="shared" si="13"/>
        <v>0</v>
      </c>
      <c r="Z31" s="38">
        <f t="shared" si="13"/>
        <v>29900777.6</v>
      </c>
      <c r="AA31" s="38">
        <f t="shared" si="13"/>
        <v>0</v>
      </c>
      <c r="AB31" s="38">
        <f t="shared" si="13"/>
        <v>0</v>
      </c>
      <c r="AC31" s="38">
        <f t="shared" si="13"/>
        <v>29900777.6</v>
      </c>
      <c r="AD31" s="38">
        <f t="shared" si="13"/>
        <v>0</v>
      </c>
      <c r="AE31" s="38">
        <f t="shared" si="13"/>
        <v>0</v>
      </c>
      <c r="AF31" s="38">
        <f t="shared" si="13"/>
        <v>0</v>
      </c>
      <c r="AG31" s="38">
        <f t="shared" si="13"/>
        <v>0</v>
      </c>
      <c r="AH31" s="38">
        <f t="shared" si="13"/>
        <v>0</v>
      </c>
      <c r="AI31" s="38">
        <f t="shared" si="13"/>
        <v>0</v>
      </c>
      <c r="AJ31" s="38">
        <f t="shared" si="13"/>
        <v>0</v>
      </c>
      <c r="AK31" s="38">
        <f t="shared" si="13"/>
        <v>0</v>
      </c>
      <c r="AL31" s="38">
        <f t="shared" si="13"/>
        <v>0</v>
      </c>
      <c r="AM31" s="38">
        <f t="shared" si="13"/>
        <v>29900777.6</v>
      </c>
      <c r="AN31" s="38">
        <f t="shared" si="13"/>
        <v>0</v>
      </c>
      <c r="AO31" s="38">
        <f t="shared" si="13"/>
        <v>0</v>
      </c>
      <c r="AP31" s="39">
        <f>SUM(AP32:AP33)</f>
        <v>29900777.6</v>
      </c>
      <c r="AQ31" s="98">
        <f>SUM(AQ32:AQ33)</f>
        <v>9628403.399999999</v>
      </c>
      <c r="AR31" s="98">
        <f>SUM(AR32:AR32)</f>
        <v>0</v>
      </c>
      <c r="AS31" s="98">
        <f>SUM(AS32:AS32)</f>
        <v>0</v>
      </c>
      <c r="AT31" s="200">
        <f t="shared" si="2"/>
        <v>0.7564228967961669</v>
      </c>
    </row>
    <row r="32" spans="1:46" s="12" customFormat="1" ht="15.75" thickBot="1">
      <c r="A32" s="95" t="s">
        <v>67</v>
      </c>
      <c r="B32" s="22" t="s">
        <v>114</v>
      </c>
      <c r="C32" s="23">
        <v>39529181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/>
      <c r="K32" s="23">
        <v>0</v>
      </c>
      <c r="L32" s="23">
        <v>0</v>
      </c>
      <c r="M32" s="23">
        <v>29900777.6</v>
      </c>
      <c r="N32" s="23">
        <v>0</v>
      </c>
      <c r="O32" s="23">
        <v>0</v>
      </c>
      <c r="P32" s="24">
        <f t="shared" si="3"/>
        <v>29900777.6</v>
      </c>
      <c r="Q32" s="23">
        <v>0</v>
      </c>
      <c r="R32" s="23">
        <v>0</v>
      </c>
      <c r="S32" s="23">
        <v>0</v>
      </c>
      <c r="T32" s="23"/>
      <c r="U32" s="23">
        <v>0</v>
      </c>
      <c r="V32" s="23">
        <v>0</v>
      </c>
      <c r="W32" s="23"/>
      <c r="X32" s="23"/>
      <c r="Y32" s="23">
        <v>0</v>
      </c>
      <c r="Z32" s="23">
        <v>29900777.6</v>
      </c>
      <c r="AA32" s="23"/>
      <c r="AB32" s="23">
        <v>0</v>
      </c>
      <c r="AC32" s="24">
        <f t="shared" si="4"/>
        <v>29900777.6</v>
      </c>
      <c r="AD32" s="23">
        <v>0</v>
      </c>
      <c r="AE32" s="23">
        <v>0</v>
      </c>
      <c r="AF32" s="23">
        <v>0</v>
      </c>
      <c r="AG32" s="23"/>
      <c r="AH32" s="23">
        <v>0</v>
      </c>
      <c r="AI32" s="23">
        <v>0</v>
      </c>
      <c r="AJ32" s="23"/>
      <c r="AK32" s="23"/>
      <c r="AL32" s="23">
        <v>0</v>
      </c>
      <c r="AM32" s="23">
        <v>29900777.6</v>
      </c>
      <c r="AN32" s="23"/>
      <c r="AO32" s="23">
        <v>0</v>
      </c>
      <c r="AP32" s="25">
        <f>SUM(AD32:AO32)</f>
        <v>29900777.6</v>
      </c>
      <c r="AQ32" s="47">
        <f>SUM(C32-P32)</f>
        <v>9628403.399999999</v>
      </c>
      <c r="AR32" s="47">
        <f>P32-AC32</f>
        <v>0</v>
      </c>
      <c r="AS32" s="47">
        <f>AC32-AP32</f>
        <v>0</v>
      </c>
      <c r="AT32" s="200">
        <f t="shared" si="2"/>
        <v>0.7564228967961669</v>
      </c>
    </row>
    <row r="33" spans="1:46" s="12" customFormat="1" ht="15.75" hidden="1" thickBot="1">
      <c r="A33" s="95" t="s">
        <v>172</v>
      </c>
      <c r="B33" s="22" t="s">
        <v>173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24">
        <f t="shared" si="3"/>
        <v>0</v>
      </c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24">
        <f t="shared" si="4"/>
        <v>0</v>
      </c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25">
        <f>SUM(AD33:AO33)</f>
        <v>0</v>
      </c>
      <c r="AQ33" s="47">
        <f>SUM(C33-P33)</f>
        <v>0</v>
      </c>
      <c r="AR33" s="47">
        <f>P33-AC33</f>
        <v>0</v>
      </c>
      <c r="AS33" s="47"/>
      <c r="AT33" s="200"/>
    </row>
    <row r="34" spans="1:46" s="34" customFormat="1" ht="16.5" thickBot="1">
      <c r="A34" s="96"/>
      <c r="B34" s="79" t="s">
        <v>82</v>
      </c>
      <c r="C34" s="38">
        <f>SUM(C35:C37)</f>
        <v>8000000000</v>
      </c>
      <c r="D34" s="38">
        <f aca="true" t="shared" si="14" ref="D34:S34">SUM(D35:D37)</f>
        <v>3907182422.03</v>
      </c>
      <c r="E34" s="38">
        <f t="shared" si="14"/>
        <v>38806075.27</v>
      </c>
      <c r="F34" s="38">
        <f t="shared" si="14"/>
        <v>199965676.46</v>
      </c>
      <c r="G34" s="38">
        <f t="shared" si="14"/>
        <v>204785828.12</v>
      </c>
      <c r="H34" s="38">
        <f t="shared" si="14"/>
        <v>248611.01</v>
      </c>
      <c r="I34" s="38">
        <f t="shared" si="14"/>
        <v>194805679.66</v>
      </c>
      <c r="J34" s="38">
        <f t="shared" si="14"/>
        <v>405894506.44</v>
      </c>
      <c r="K34" s="243">
        <f t="shared" si="14"/>
        <v>-19254295.01</v>
      </c>
      <c r="L34" s="38">
        <f t="shared" si="14"/>
        <v>279029155.67</v>
      </c>
      <c r="M34" s="38">
        <f t="shared" si="14"/>
        <v>204536619.57999998</v>
      </c>
      <c r="N34" s="38">
        <f t="shared" si="14"/>
        <v>151153100.57</v>
      </c>
      <c r="O34" s="38">
        <f t="shared" si="14"/>
        <v>1684338959.48</v>
      </c>
      <c r="P34" s="38">
        <f t="shared" si="14"/>
        <v>7251492339.280001</v>
      </c>
      <c r="Q34" s="38">
        <f t="shared" si="14"/>
        <v>252301770.34</v>
      </c>
      <c r="R34" s="38">
        <f t="shared" si="14"/>
        <v>1143961901.45</v>
      </c>
      <c r="S34" s="38">
        <f t="shared" si="14"/>
        <v>216778401.39</v>
      </c>
      <c r="T34" s="38">
        <f aca="true" t="shared" si="15" ref="T34:AP34">SUM(T35:T37)</f>
        <v>58491262.61</v>
      </c>
      <c r="U34" s="38">
        <f t="shared" si="15"/>
        <v>181092634.09</v>
      </c>
      <c r="V34" s="38">
        <f t="shared" si="15"/>
        <v>1142476200.35</v>
      </c>
      <c r="W34" s="38">
        <f t="shared" si="15"/>
        <v>168581410.12</v>
      </c>
      <c r="X34" s="38">
        <f t="shared" si="15"/>
        <v>1388263951.31</v>
      </c>
      <c r="Y34" s="38">
        <f t="shared" si="15"/>
        <v>313796969.07</v>
      </c>
      <c r="Z34" s="38">
        <f t="shared" si="15"/>
        <v>40548907.37</v>
      </c>
      <c r="AA34" s="38">
        <f t="shared" si="15"/>
        <v>50715735.42</v>
      </c>
      <c r="AB34" s="38">
        <f t="shared" si="15"/>
        <v>649760618.54</v>
      </c>
      <c r="AC34" s="38">
        <f t="shared" si="15"/>
        <v>5606769762.059999</v>
      </c>
      <c r="AD34" s="38">
        <f t="shared" si="15"/>
        <v>252301770.34</v>
      </c>
      <c r="AE34" s="38">
        <f t="shared" si="15"/>
        <v>1143961901.45</v>
      </c>
      <c r="AF34" s="38">
        <f t="shared" si="15"/>
        <v>216778401.39</v>
      </c>
      <c r="AG34" s="38">
        <f t="shared" si="15"/>
        <v>58491262.61</v>
      </c>
      <c r="AH34" s="38">
        <f t="shared" si="15"/>
        <v>181092634.09</v>
      </c>
      <c r="AI34" s="38">
        <f t="shared" si="15"/>
        <v>1142476200.35</v>
      </c>
      <c r="AJ34" s="38">
        <f t="shared" si="15"/>
        <v>168581410.12</v>
      </c>
      <c r="AK34" s="38">
        <f t="shared" si="15"/>
        <v>1388263951.31</v>
      </c>
      <c r="AL34" s="38">
        <f t="shared" si="15"/>
        <v>313796969.07</v>
      </c>
      <c r="AM34" s="38">
        <f t="shared" si="15"/>
        <v>40548907.37</v>
      </c>
      <c r="AN34" s="38">
        <f t="shared" si="15"/>
        <v>50715735.42</v>
      </c>
      <c r="AO34" s="38">
        <f t="shared" si="15"/>
        <v>464870618.54</v>
      </c>
      <c r="AP34" s="39">
        <f t="shared" si="15"/>
        <v>5421879762.059999</v>
      </c>
      <c r="AQ34" s="100">
        <f>SUM(AQ35:AQ37)</f>
        <v>748507660.7199998</v>
      </c>
      <c r="AR34" s="100">
        <f>SUM(AR35:AR37)</f>
        <v>1644722577.2200005</v>
      </c>
      <c r="AS34" s="100">
        <f>SUM(AS35:AS37)</f>
        <v>184890000</v>
      </c>
      <c r="AT34" s="200">
        <f t="shared" si="2"/>
        <v>0.90643654241</v>
      </c>
    </row>
    <row r="35" spans="1:46" s="12" customFormat="1" ht="23.25" customHeight="1">
      <c r="A35" s="54" t="s">
        <v>107</v>
      </c>
      <c r="B35" s="30" t="s">
        <v>68</v>
      </c>
      <c r="C35" s="31">
        <v>6291609927</v>
      </c>
      <c r="D35" s="32">
        <v>3907182422.03</v>
      </c>
      <c r="E35" s="31">
        <v>38806075.27</v>
      </c>
      <c r="F35" s="31">
        <v>199965676.46</v>
      </c>
      <c r="G35" s="31">
        <v>204785828.12</v>
      </c>
      <c r="H35" s="32">
        <v>248611.01</v>
      </c>
      <c r="I35" s="31">
        <v>194805679.66</v>
      </c>
      <c r="J35" s="31">
        <v>405894506.44</v>
      </c>
      <c r="K35" s="242">
        <v>-19254295.01</v>
      </c>
      <c r="L35" s="31">
        <v>279029155.67</v>
      </c>
      <c r="M35" s="31">
        <v>87086619.58</v>
      </c>
      <c r="N35" s="31">
        <v>51696571.13</v>
      </c>
      <c r="O35" s="32">
        <v>197045101.31</v>
      </c>
      <c r="P35" s="32">
        <f>SUM(D35:O35)</f>
        <v>5547291951.67</v>
      </c>
      <c r="Q35" s="32">
        <v>252301770.34</v>
      </c>
      <c r="R35" s="31">
        <v>1143961901.45</v>
      </c>
      <c r="S35" s="31">
        <v>216778401.39</v>
      </c>
      <c r="T35" s="31">
        <v>58491262.61</v>
      </c>
      <c r="U35" s="31">
        <v>181092634.09</v>
      </c>
      <c r="V35" s="31">
        <v>1142476200.35</v>
      </c>
      <c r="W35" s="31">
        <v>168581410.12</v>
      </c>
      <c r="X35" s="31">
        <v>1388263951.31</v>
      </c>
      <c r="Y35" s="31">
        <v>313796969.07</v>
      </c>
      <c r="Z35" s="31">
        <v>40548907.37</v>
      </c>
      <c r="AA35" s="31">
        <v>50123375.42</v>
      </c>
      <c r="AB35" s="31">
        <v>575206028.3</v>
      </c>
      <c r="AC35" s="31">
        <f t="shared" si="4"/>
        <v>5531622811.82</v>
      </c>
      <c r="AD35" s="32">
        <v>252301770.34</v>
      </c>
      <c r="AE35" s="31">
        <v>1143961901.45</v>
      </c>
      <c r="AF35" s="31">
        <v>216778401.39</v>
      </c>
      <c r="AG35" s="31">
        <v>58491262.61</v>
      </c>
      <c r="AH35" s="31">
        <v>181092634.09</v>
      </c>
      <c r="AI35" s="31">
        <v>1142476200.35</v>
      </c>
      <c r="AJ35" s="31">
        <v>168581410.12</v>
      </c>
      <c r="AK35" s="31">
        <v>1388263951.31</v>
      </c>
      <c r="AL35" s="31">
        <v>313796969.07</v>
      </c>
      <c r="AM35" s="31">
        <v>40548907.37</v>
      </c>
      <c r="AN35" s="31">
        <v>50123375.42</v>
      </c>
      <c r="AO35" s="31">
        <v>390316028.3</v>
      </c>
      <c r="AP35" s="33">
        <f>SUM(AD35:AO35)</f>
        <v>5346732811.82</v>
      </c>
      <c r="AQ35" s="47">
        <f>SUM(C35-P35)</f>
        <v>744317975.3299999</v>
      </c>
      <c r="AR35" s="47">
        <f>SUM(P35-AC35)</f>
        <v>15669139.850000381</v>
      </c>
      <c r="AS35" s="47">
        <f>AC35-AP35</f>
        <v>184890000</v>
      </c>
      <c r="AT35" s="200">
        <f t="shared" si="2"/>
        <v>0.8816967383601116</v>
      </c>
    </row>
    <row r="36" spans="1:46" s="12" customFormat="1" ht="31.5" customHeight="1" thickBot="1">
      <c r="A36" s="54" t="s">
        <v>180</v>
      </c>
      <c r="B36" s="30" t="s">
        <v>68</v>
      </c>
      <c r="C36" s="32">
        <v>1708390073</v>
      </c>
      <c r="D36" s="32">
        <v>0</v>
      </c>
      <c r="E36" s="55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117450000</v>
      </c>
      <c r="N36" s="32">
        <v>99456529.44</v>
      </c>
      <c r="O36" s="32">
        <v>1487293858.17</v>
      </c>
      <c r="P36" s="32">
        <f>SUM(D36:O36)</f>
        <v>1704200387.6100001</v>
      </c>
      <c r="Q36" s="32">
        <v>0</v>
      </c>
      <c r="R36" s="55"/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592360</v>
      </c>
      <c r="AB36" s="55">
        <v>74554590.24</v>
      </c>
      <c r="AC36" s="31">
        <f t="shared" si="4"/>
        <v>75146950.24</v>
      </c>
      <c r="AD36" s="32">
        <v>0</v>
      </c>
      <c r="AE36" s="55"/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592360</v>
      </c>
      <c r="AO36" s="55">
        <v>74554590.24</v>
      </c>
      <c r="AP36" s="33">
        <f>SUM(AD36:AO36)</f>
        <v>75146950.24</v>
      </c>
      <c r="AQ36" s="47">
        <f>SUM(C36-P36)</f>
        <v>4189685.3899998665</v>
      </c>
      <c r="AR36" s="47">
        <f>SUM(P36-AC36)</f>
        <v>1629053437.3700001</v>
      </c>
      <c r="AS36" s="47">
        <f>AC36-AP36</f>
        <v>0</v>
      </c>
      <c r="AT36" s="200">
        <f t="shared" si="2"/>
        <v>0.9975475826883947</v>
      </c>
    </row>
    <row r="37" spans="1:46" s="12" customFormat="1" ht="31.5" customHeight="1" hidden="1" thickBot="1">
      <c r="A37" s="54" t="s">
        <v>169</v>
      </c>
      <c r="B37" s="199" t="s">
        <v>155</v>
      </c>
      <c r="C37" s="55"/>
      <c r="D37" s="32"/>
      <c r="E37" s="55"/>
      <c r="F37" s="55"/>
      <c r="G37" s="55"/>
      <c r="H37" s="56"/>
      <c r="I37" s="55"/>
      <c r="J37" s="55"/>
      <c r="K37" s="55"/>
      <c r="L37" s="55"/>
      <c r="M37" s="55"/>
      <c r="N37" s="55"/>
      <c r="O37" s="32"/>
      <c r="P37" s="32">
        <f>SUM(D37:O37)</f>
        <v>0</v>
      </c>
      <c r="Q37" s="32"/>
      <c r="R37" s="55"/>
      <c r="S37" s="55"/>
      <c r="T37" s="55"/>
      <c r="U37" s="56"/>
      <c r="V37" s="55"/>
      <c r="W37" s="55"/>
      <c r="X37" s="55"/>
      <c r="Y37" s="55"/>
      <c r="Z37" s="55"/>
      <c r="AA37" s="55"/>
      <c r="AB37" s="55"/>
      <c r="AC37" s="31">
        <f t="shared" si="4"/>
        <v>0</v>
      </c>
      <c r="AD37" s="32"/>
      <c r="AE37" s="55"/>
      <c r="AF37" s="55"/>
      <c r="AG37" s="55"/>
      <c r="AH37" s="56"/>
      <c r="AI37" s="55"/>
      <c r="AJ37" s="55"/>
      <c r="AK37" s="55"/>
      <c r="AL37" s="55"/>
      <c r="AM37" s="55"/>
      <c r="AN37" s="55"/>
      <c r="AO37" s="55"/>
      <c r="AP37" s="33">
        <f>SUM(AD37:AO37)</f>
        <v>0</v>
      </c>
      <c r="AQ37" s="47">
        <f>SUM(C37-P37)</f>
        <v>0</v>
      </c>
      <c r="AR37" s="47">
        <f>SUM(P37-AC37)</f>
        <v>0</v>
      </c>
      <c r="AS37" s="47"/>
      <c r="AT37" s="200"/>
    </row>
    <row r="38" spans="1:46" s="26" customFormat="1" ht="18.75" thickBot="1">
      <c r="A38" s="294" t="s">
        <v>50</v>
      </c>
      <c r="B38" s="295"/>
      <c r="C38" s="35">
        <f aca="true" t="shared" si="16" ref="C38:AP38">SUM(C14+C34)</f>
        <v>8867123564</v>
      </c>
      <c r="D38" s="35">
        <f t="shared" si="16"/>
        <v>4080113291.5600004</v>
      </c>
      <c r="E38" s="35">
        <f t="shared" si="16"/>
        <v>101782315.64000002</v>
      </c>
      <c r="F38" s="35">
        <f t="shared" si="16"/>
        <v>289514384.54</v>
      </c>
      <c r="G38" s="35">
        <f t="shared" si="16"/>
        <v>229009255.27</v>
      </c>
      <c r="H38" s="35">
        <f t="shared" si="16"/>
        <v>48052823.63</v>
      </c>
      <c r="I38" s="35">
        <f t="shared" si="16"/>
        <v>239166579.9</v>
      </c>
      <c r="J38" s="35">
        <f t="shared" si="16"/>
        <v>441032246.39</v>
      </c>
      <c r="K38" s="35">
        <f t="shared" si="16"/>
        <v>19076782.44</v>
      </c>
      <c r="L38" s="35">
        <f t="shared" si="16"/>
        <v>314433642.74</v>
      </c>
      <c r="M38" s="35">
        <f t="shared" si="16"/>
        <v>277960124</v>
      </c>
      <c r="N38" s="35">
        <f t="shared" si="16"/>
        <v>228715952.7</v>
      </c>
      <c r="O38" s="198">
        <f t="shared" si="16"/>
        <v>1804149237.08</v>
      </c>
      <c r="P38" s="35">
        <f t="shared" si="16"/>
        <v>8073006635.89</v>
      </c>
      <c r="Q38" s="35">
        <f t="shared" si="16"/>
        <v>295612899.04</v>
      </c>
      <c r="R38" s="35">
        <f t="shared" si="16"/>
        <v>1222980197.68</v>
      </c>
      <c r="S38" s="35">
        <f t="shared" si="16"/>
        <v>326108844.75</v>
      </c>
      <c r="T38" s="35">
        <f t="shared" si="16"/>
        <v>92180637.07</v>
      </c>
      <c r="U38" s="35">
        <f t="shared" si="16"/>
        <v>242144537.97</v>
      </c>
      <c r="V38" s="35">
        <f t="shared" si="16"/>
        <v>1189025100.25</v>
      </c>
      <c r="W38" s="35">
        <f t="shared" si="16"/>
        <v>206332342.21</v>
      </c>
      <c r="X38" s="35">
        <f t="shared" si="16"/>
        <v>1418827002.8799999</v>
      </c>
      <c r="Y38" s="35">
        <f t="shared" si="16"/>
        <v>370000552.65</v>
      </c>
      <c r="Z38" s="35">
        <f t="shared" si="16"/>
        <v>125587703.16</v>
      </c>
      <c r="AA38" s="35">
        <f t="shared" si="16"/>
        <v>123542186.41</v>
      </c>
      <c r="AB38" s="35">
        <f t="shared" si="16"/>
        <v>750464114.06</v>
      </c>
      <c r="AC38" s="35">
        <f t="shared" si="16"/>
        <v>6362806118.129999</v>
      </c>
      <c r="AD38" s="35">
        <f t="shared" si="16"/>
        <v>284764760.58</v>
      </c>
      <c r="AE38" s="35">
        <f t="shared" si="16"/>
        <v>1231312272.54</v>
      </c>
      <c r="AF38" s="35">
        <f t="shared" si="16"/>
        <v>325106392.64</v>
      </c>
      <c r="AG38" s="35">
        <f t="shared" si="16"/>
        <v>95699152.78</v>
      </c>
      <c r="AH38" s="35">
        <f t="shared" si="16"/>
        <v>241177129.97</v>
      </c>
      <c r="AI38" s="35">
        <f t="shared" si="16"/>
        <v>1187716258.25</v>
      </c>
      <c r="AJ38" s="35">
        <f t="shared" si="16"/>
        <v>205917229.21</v>
      </c>
      <c r="AK38" s="35">
        <f t="shared" si="16"/>
        <v>1419819799.84</v>
      </c>
      <c r="AL38" s="35">
        <f t="shared" si="16"/>
        <v>371419933.40999997</v>
      </c>
      <c r="AM38" s="35">
        <f t="shared" si="16"/>
        <v>122359514.71000001</v>
      </c>
      <c r="AN38" s="35">
        <f t="shared" si="16"/>
        <v>124577385.58</v>
      </c>
      <c r="AO38" s="35">
        <f t="shared" si="16"/>
        <v>566454963.06</v>
      </c>
      <c r="AP38" s="88">
        <f t="shared" si="16"/>
        <v>6176324792.57</v>
      </c>
      <c r="AQ38" s="101">
        <f>AQ14+AQ34</f>
        <v>794116928.1099998</v>
      </c>
      <c r="AR38" s="101">
        <f>AR14+AR34</f>
        <v>1710200517.7600005</v>
      </c>
      <c r="AS38" s="101">
        <f>AS14+AS34</f>
        <v>186481325.56000006</v>
      </c>
      <c r="AT38" s="200">
        <f t="shared" si="2"/>
        <v>0.9104425553136456</v>
      </c>
    </row>
    <row r="39" spans="1:42" ht="15">
      <c r="A39" s="190" t="s">
        <v>277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spans="1:42" ht="15">
      <c r="A40" s="204" t="s">
        <v>301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</row>
    <row r="41" spans="1:42" ht="15">
      <c r="A41" s="204" t="s">
        <v>292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204" t="s">
        <v>293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>
      <c r="A43" s="204" t="s">
        <v>294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>
      <c r="A44" s="69">
        <f ca="1">TODAY()</f>
        <v>39108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6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>
      <c r="A46" s="6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84" t="s">
        <v>116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 t="s">
        <v>125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4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6"/>
    </row>
    <row r="49" spans="1:42" ht="15">
      <c r="A49" s="4"/>
      <c r="B49" s="85" t="s">
        <v>176</v>
      </c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72" t="s">
        <v>136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5">
      <c r="A51" s="4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8">
    <mergeCell ref="A5:AP5"/>
    <mergeCell ref="A7:B7"/>
    <mergeCell ref="A8:B8"/>
    <mergeCell ref="A38:B38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Footer>&amp;CHACIENDA2006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="75" zoomScaleNormal="75" workbookViewId="0" topLeftCell="A5">
      <selection activeCell="A27" sqref="A2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17.57421875" style="1" hidden="1" customWidth="1"/>
    <col min="13" max="13" width="19.00390625" style="1" hidden="1" customWidth="1"/>
    <col min="14" max="14" width="23.8515625" style="1" hidden="1" customWidth="1"/>
    <col min="15" max="15" width="19.57421875" style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customWidth="1"/>
    <col min="29" max="29" width="28.7109375" style="1" customWidth="1"/>
    <col min="30" max="30" width="20.8515625" style="1" bestFit="1" customWidth="1"/>
    <col min="31" max="16384" width="11.421875" style="1" customWidth="1"/>
  </cols>
  <sheetData>
    <row r="1" spans="1:29" ht="18">
      <c r="A1" s="256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7"/>
    </row>
    <row r="2" spans="1:29" ht="15.7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60"/>
    </row>
    <row r="3" spans="1:29" ht="18">
      <c r="A3" s="261" t="s">
        <v>51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3"/>
    </row>
    <row r="4" spans="1:29" ht="15.75">
      <c r="A4" s="258" t="s">
        <v>53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60"/>
    </row>
    <row r="5" spans="1:29" ht="20.25">
      <c r="A5" s="264" t="s">
        <v>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</row>
    <row r="6" spans="1:30" ht="1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64"/>
      <c r="V6" s="58"/>
      <c r="W6" s="58"/>
      <c r="X6" s="58"/>
      <c r="Y6" s="58"/>
      <c r="Z6" s="58"/>
      <c r="AA6" s="58"/>
      <c r="AB6" s="58"/>
      <c r="AC6" s="59"/>
      <c r="AD6" s="42"/>
    </row>
    <row r="7" spans="1:30" ht="15.75">
      <c r="A7" s="292" t="s">
        <v>4</v>
      </c>
      <c r="B7" s="293"/>
      <c r="C7" s="74" t="s">
        <v>48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75" t="s">
        <v>8</v>
      </c>
      <c r="Q7" s="77"/>
      <c r="R7" s="77"/>
      <c r="S7" s="77"/>
      <c r="T7" s="77"/>
      <c r="U7" s="64"/>
      <c r="V7" s="77"/>
      <c r="W7" s="77"/>
      <c r="X7" s="77"/>
      <c r="Y7" s="77"/>
      <c r="Z7" s="77"/>
      <c r="AA7" s="77"/>
      <c r="AB7" s="77"/>
      <c r="AC7" s="80" t="s">
        <v>288</v>
      </c>
      <c r="AD7" s="5"/>
    </row>
    <row r="8" spans="1:30" ht="15.75">
      <c r="A8" s="292" t="s">
        <v>5</v>
      </c>
      <c r="B8" s="293"/>
      <c r="C8" s="73" t="s">
        <v>57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75" t="s">
        <v>9</v>
      </c>
      <c r="Q8" s="77"/>
      <c r="R8" s="77"/>
      <c r="S8" s="77"/>
      <c r="T8" s="77"/>
      <c r="U8" s="64"/>
      <c r="V8" s="77"/>
      <c r="W8" s="77"/>
      <c r="X8" s="77"/>
      <c r="Y8" s="77"/>
      <c r="Z8" s="77"/>
      <c r="AA8" s="77"/>
      <c r="AB8" s="77"/>
      <c r="AC8" s="76">
        <v>2006</v>
      </c>
      <c r="AD8" s="46"/>
    </row>
    <row r="9" spans="1:29" ht="13.5" thickBo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</row>
    <row r="10" spans="1:29" ht="12.75">
      <c r="A10" s="177"/>
      <c r="B10" s="178"/>
      <c r="C10" s="178" t="s">
        <v>54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</row>
    <row r="11" spans="1:29" ht="12.75">
      <c r="A11" s="179" t="s">
        <v>40</v>
      </c>
      <c r="B11" s="179" t="s">
        <v>42</v>
      </c>
      <c r="C11" s="179" t="s">
        <v>55</v>
      </c>
      <c r="D11" s="179" t="s">
        <v>45</v>
      </c>
      <c r="E11" s="179" t="s">
        <v>45</v>
      </c>
      <c r="F11" s="179" t="s">
        <v>45</v>
      </c>
      <c r="G11" s="179" t="s">
        <v>45</v>
      </c>
      <c r="H11" s="179" t="s">
        <v>45</v>
      </c>
      <c r="I11" s="179" t="s">
        <v>45</v>
      </c>
      <c r="J11" s="179" t="s">
        <v>45</v>
      </c>
      <c r="K11" s="179" t="s">
        <v>45</v>
      </c>
      <c r="L11" s="179" t="s">
        <v>45</v>
      </c>
      <c r="M11" s="179" t="s">
        <v>45</v>
      </c>
      <c r="N11" s="179" t="s">
        <v>45</v>
      </c>
      <c r="O11" s="179" t="s">
        <v>45</v>
      </c>
      <c r="P11" s="179" t="s">
        <v>45</v>
      </c>
      <c r="Q11" s="179" t="s">
        <v>46</v>
      </c>
      <c r="R11" s="179" t="s">
        <v>46</v>
      </c>
      <c r="S11" s="179" t="s">
        <v>46</v>
      </c>
      <c r="T11" s="179" t="s">
        <v>46</v>
      </c>
      <c r="U11" s="179" t="s">
        <v>46</v>
      </c>
      <c r="V11" s="179" t="s">
        <v>46</v>
      </c>
      <c r="W11" s="179" t="s">
        <v>46</v>
      </c>
      <c r="X11" s="179" t="s">
        <v>46</v>
      </c>
      <c r="Y11" s="179" t="s">
        <v>46</v>
      </c>
      <c r="Z11" s="179" t="s">
        <v>46</v>
      </c>
      <c r="AA11" s="179" t="s">
        <v>46</v>
      </c>
      <c r="AB11" s="179" t="s">
        <v>46</v>
      </c>
      <c r="AC11" s="179" t="s">
        <v>46</v>
      </c>
    </row>
    <row r="12" spans="1:30" ht="13.5" thickBot="1">
      <c r="A12" s="180" t="s">
        <v>41</v>
      </c>
      <c r="B12" s="180"/>
      <c r="C12" s="180" t="s">
        <v>130</v>
      </c>
      <c r="D12" s="180" t="s">
        <v>13</v>
      </c>
      <c r="E12" s="180" t="s">
        <v>14</v>
      </c>
      <c r="F12" s="180" t="s">
        <v>15</v>
      </c>
      <c r="G12" s="180" t="s">
        <v>16</v>
      </c>
      <c r="H12" s="180" t="s">
        <v>28</v>
      </c>
      <c r="I12" s="180" t="s">
        <v>29</v>
      </c>
      <c r="J12" s="180" t="s">
        <v>30</v>
      </c>
      <c r="K12" s="180" t="s">
        <v>20</v>
      </c>
      <c r="L12" s="180" t="s">
        <v>154</v>
      </c>
      <c r="M12" s="180" t="s">
        <v>31</v>
      </c>
      <c r="N12" s="180" t="s">
        <v>23</v>
      </c>
      <c r="O12" s="180" t="s">
        <v>24</v>
      </c>
      <c r="P12" s="180" t="s">
        <v>47</v>
      </c>
      <c r="Q12" s="180" t="s">
        <v>13</v>
      </c>
      <c r="R12" s="180" t="s">
        <v>14</v>
      </c>
      <c r="S12" s="180" t="s">
        <v>15</v>
      </c>
      <c r="T12" s="180" t="s">
        <v>16</v>
      </c>
      <c r="U12" s="180" t="s">
        <v>28</v>
      </c>
      <c r="V12" s="180" t="s">
        <v>29</v>
      </c>
      <c r="W12" s="180" t="s">
        <v>30</v>
      </c>
      <c r="X12" s="180" t="s">
        <v>20</v>
      </c>
      <c r="Y12" s="180" t="s">
        <v>154</v>
      </c>
      <c r="Z12" s="180" t="s">
        <v>31</v>
      </c>
      <c r="AA12" s="180" t="s">
        <v>23</v>
      </c>
      <c r="AB12" s="180" t="s">
        <v>24</v>
      </c>
      <c r="AC12" s="180" t="s">
        <v>25</v>
      </c>
      <c r="AD12" s="104" t="s">
        <v>126</v>
      </c>
    </row>
    <row r="13" spans="1:29" ht="13.5" thickBot="1">
      <c r="A13" s="181">
        <v>1</v>
      </c>
      <c r="B13" s="182">
        <v>2</v>
      </c>
      <c r="C13" s="182"/>
      <c r="D13" s="182"/>
      <c r="E13" s="182"/>
      <c r="F13" s="182">
        <v>5</v>
      </c>
      <c r="G13" s="182">
        <v>5</v>
      </c>
      <c r="H13" s="182">
        <v>5</v>
      </c>
      <c r="I13" s="182">
        <v>5</v>
      </c>
      <c r="J13" s="182">
        <v>5</v>
      </c>
      <c r="K13" s="182">
        <v>5</v>
      </c>
      <c r="L13" s="182">
        <v>5</v>
      </c>
      <c r="M13" s="182">
        <v>5</v>
      </c>
      <c r="N13" s="182">
        <v>5</v>
      </c>
      <c r="O13" s="182">
        <v>5</v>
      </c>
      <c r="P13" s="182">
        <v>6</v>
      </c>
      <c r="Q13" s="182"/>
      <c r="R13" s="182"/>
      <c r="S13" s="182">
        <v>7</v>
      </c>
      <c r="T13" s="182">
        <v>7</v>
      </c>
      <c r="U13" s="182">
        <v>7</v>
      </c>
      <c r="V13" s="182">
        <v>7</v>
      </c>
      <c r="W13" s="182">
        <v>7</v>
      </c>
      <c r="X13" s="182">
        <v>7</v>
      </c>
      <c r="Y13" s="182">
        <v>7</v>
      </c>
      <c r="Z13" s="182">
        <v>7</v>
      </c>
      <c r="AA13" s="182">
        <v>7</v>
      </c>
      <c r="AB13" s="182">
        <v>7</v>
      </c>
      <c r="AC13" s="183">
        <v>8</v>
      </c>
    </row>
    <row r="14" spans="1:30" s="34" customFormat="1" ht="16.5" thickBot="1">
      <c r="A14" s="36"/>
      <c r="B14" s="78" t="s">
        <v>81</v>
      </c>
      <c r="C14" s="37">
        <f>C15</f>
        <v>26837334.18</v>
      </c>
      <c r="D14" s="37">
        <f>D15</f>
        <v>0</v>
      </c>
      <c r="E14" s="37">
        <f>E15</f>
        <v>23576504.18</v>
      </c>
      <c r="F14" s="37">
        <f aca="true" t="shared" si="0" ref="F14:Y14">F15</f>
        <v>566220.52</v>
      </c>
      <c r="G14" s="37">
        <f t="shared" si="0"/>
        <v>2064546.88</v>
      </c>
      <c r="H14" s="37">
        <f t="shared" si="0"/>
        <v>241763</v>
      </c>
      <c r="I14" s="37">
        <f t="shared" si="0"/>
        <v>307174.6</v>
      </c>
      <c r="J14" s="37">
        <f t="shared" si="0"/>
        <v>0</v>
      </c>
      <c r="K14" s="37">
        <f t="shared" si="0"/>
        <v>81125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26837334.18</v>
      </c>
      <c r="Q14" s="37">
        <f t="shared" si="0"/>
        <v>0</v>
      </c>
      <c r="R14" s="37">
        <f>R15</f>
        <v>23576504.18</v>
      </c>
      <c r="S14" s="37">
        <f>S15</f>
        <v>566220.52</v>
      </c>
      <c r="T14" s="37">
        <f>T15</f>
        <v>2064546.88</v>
      </c>
      <c r="U14" s="37">
        <f t="shared" si="0"/>
        <v>241763</v>
      </c>
      <c r="V14" s="37">
        <f t="shared" si="0"/>
        <v>307174.6</v>
      </c>
      <c r="W14" s="37">
        <f t="shared" si="0"/>
        <v>0</v>
      </c>
      <c r="X14" s="37">
        <f t="shared" si="0"/>
        <v>81125</v>
      </c>
      <c r="Y14" s="37">
        <f t="shared" si="0"/>
        <v>0</v>
      </c>
      <c r="Z14" s="37">
        <f>Z15</f>
        <v>0</v>
      </c>
      <c r="AA14" s="37">
        <f>AA15</f>
        <v>0</v>
      </c>
      <c r="AB14" s="37">
        <f>AB15</f>
        <v>0</v>
      </c>
      <c r="AC14" s="206">
        <f>AC15</f>
        <v>26837334.18</v>
      </c>
      <c r="AD14" s="202">
        <f>AD15</f>
        <v>0</v>
      </c>
    </row>
    <row r="15" spans="1:30" s="12" customFormat="1" ht="16.5" thickBot="1">
      <c r="A15" s="82"/>
      <c r="B15" s="79" t="s">
        <v>85</v>
      </c>
      <c r="C15" s="49">
        <f aca="true" t="shared" si="1" ref="C15:AD15">SUM(C16:C18)</f>
        <v>26837334.18</v>
      </c>
      <c r="D15" s="49">
        <f t="shared" si="1"/>
        <v>0</v>
      </c>
      <c r="E15" s="49">
        <f t="shared" si="1"/>
        <v>23576504.18</v>
      </c>
      <c r="F15" s="49">
        <f t="shared" si="1"/>
        <v>566220.52</v>
      </c>
      <c r="G15" s="49">
        <f t="shared" si="1"/>
        <v>2064546.88</v>
      </c>
      <c r="H15" s="49">
        <f t="shared" si="1"/>
        <v>241763</v>
      </c>
      <c r="I15" s="49">
        <f t="shared" si="1"/>
        <v>307174.6</v>
      </c>
      <c r="J15" s="108">
        <f t="shared" si="1"/>
        <v>0</v>
      </c>
      <c r="K15" s="49">
        <f t="shared" si="1"/>
        <v>81125</v>
      </c>
      <c r="L15" s="49">
        <f t="shared" si="1"/>
        <v>0</v>
      </c>
      <c r="M15" s="49">
        <f t="shared" si="1"/>
        <v>0</v>
      </c>
      <c r="N15" s="49">
        <f t="shared" si="1"/>
        <v>0</v>
      </c>
      <c r="O15" s="49">
        <f t="shared" si="1"/>
        <v>0</v>
      </c>
      <c r="P15" s="49">
        <f t="shared" si="1"/>
        <v>26837334.18</v>
      </c>
      <c r="Q15" s="49">
        <f t="shared" si="1"/>
        <v>0</v>
      </c>
      <c r="R15" s="49">
        <f t="shared" si="1"/>
        <v>23576504.18</v>
      </c>
      <c r="S15" s="49">
        <f t="shared" si="1"/>
        <v>566220.52</v>
      </c>
      <c r="T15" s="49">
        <f t="shared" si="1"/>
        <v>2064546.88</v>
      </c>
      <c r="U15" s="49">
        <f t="shared" si="1"/>
        <v>241763</v>
      </c>
      <c r="V15" s="49">
        <f t="shared" si="1"/>
        <v>307174.6</v>
      </c>
      <c r="W15" s="108">
        <f t="shared" si="1"/>
        <v>0</v>
      </c>
      <c r="X15" s="49">
        <f t="shared" si="1"/>
        <v>81125</v>
      </c>
      <c r="Y15" s="49">
        <f t="shared" si="1"/>
        <v>0</v>
      </c>
      <c r="Z15" s="49">
        <f t="shared" si="1"/>
        <v>0</v>
      </c>
      <c r="AA15" s="49">
        <f t="shared" si="1"/>
        <v>0</v>
      </c>
      <c r="AB15" s="49">
        <f t="shared" si="1"/>
        <v>0</v>
      </c>
      <c r="AC15" s="50">
        <f t="shared" si="1"/>
        <v>26837334.18</v>
      </c>
      <c r="AD15" s="98">
        <f t="shared" si="1"/>
        <v>0</v>
      </c>
    </row>
    <row r="16" spans="1:30" s="12" customFormat="1" ht="15">
      <c r="A16" s="51" t="s">
        <v>60</v>
      </c>
      <c r="B16" s="30" t="s">
        <v>61</v>
      </c>
      <c r="C16" s="31">
        <v>15716644.11</v>
      </c>
      <c r="D16" s="31">
        <v>0</v>
      </c>
      <c r="E16" s="31">
        <v>15716644.11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/>
      <c r="N16" s="31">
        <v>0</v>
      </c>
      <c r="O16" s="31">
        <v>0</v>
      </c>
      <c r="P16" s="32">
        <f>SUM(D16:O16)</f>
        <v>15716644.11</v>
      </c>
      <c r="Q16" s="31">
        <v>0</v>
      </c>
      <c r="R16" s="31">
        <v>15716644.11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/>
      <c r="AA16" s="31">
        <v>0</v>
      </c>
      <c r="AB16" s="31">
        <v>0</v>
      </c>
      <c r="AC16" s="33">
        <f>SUM(Q16:AB16)</f>
        <v>15716644.11</v>
      </c>
      <c r="AD16" s="47">
        <f>SUM(C16-AC16)</f>
        <v>0</v>
      </c>
    </row>
    <row r="17" spans="1:30" s="12" customFormat="1" ht="15">
      <c r="A17" s="51" t="s">
        <v>150</v>
      </c>
      <c r="B17" s="30" t="s">
        <v>61</v>
      </c>
      <c r="C17" s="31">
        <v>1708200.99</v>
      </c>
      <c r="D17" s="31">
        <v>0</v>
      </c>
      <c r="E17" s="31">
        <v>711732</v>
      </c>
      <c r="F17" s="31">
        <v>0</v>
      </c>
      <c r="G17" s="31">
        <v>996468.99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/>
      <c r="N17" s="31">
        <v>0</v>
      </c>
      <c r="O17" s="31">
        <v>0</v>
      </c>
      <c r="P17" s="32">
        <f>SUM(D17:O17)</f>
        <v>1708200.99</v>
      </c>
      <c r="Q17" s="31">
        <v>0</v>
      </c>
      <c r="R17" s="31">
        <v>711732</v>
      </c>
      <c r="S17" s="31">
        <v>0</v>
      </c>
      <c r="T17" s="31">
        <v>996468.99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/>
      <c r="AA17" s="31">
        <v>0</v>
      </c>
      <c r="AB17" s="31">
        <v>0</v>
      </c>
      <c r="AC17" s="33">
        <f>SUM(Q17:AB17)</f>
        <v>1708200.99</v>
      </c>
      <c r="AD17" s="47">
        <f>SUM(C17-AC17)</f>
        <v>0</v>
      </c>
    </row>
    <row r="18" spans="1:30" s="12" customFormat="1" ht="15.75" thickBot="1">
      <c r="A18" s="51" t="s">
        <v>63</v>
      </c>
      <c r="B18" s="22" t="s">
        <v>62</v>
      </c>
      <c r="C18" s="23">
        <f>9652900.85-240411.77</f>
        <v>9412489.08</v>
      </c>
      <c r="D18" s="23">
        <v>0</v>
      </c>
      <c r="E18" s="23">
        <v>7148128.07</v>
      </c>
      <c r="F18" s="23">
        <v>566220.52</v>
      </c>
      <c r="G18" s="23">
        <v>1068077.89</v>
      </c>
      <c r="H18" s="23">
        <v>241763</v>
      </c>
      <c r="I18" s="23">
        <v>307174.6</v>
      </c>
      <c r="J18" s="158">
        <v>0</v>
      </c>
      <c r="K18" s="23">
        <v>81125</v>
      </c>
      <c r="L18" s="23">
        <v>0</v>
      </c>
      <c r="M18" s="23"/>
      <c r="N18" s="23">
        <v>0</v>
      </c>
      <c r="O18" s="23">
        <v>0</v>
      </c>
      <c r="P18" s="32">
        <f>SUM(D18:O18)</f>
        <v>9412489.08</v>
      </c>
      <c r="Q18" s="23">
        <v>0</v>
      </c>
      <c r="R18" s="23">
        <v>7148128.07</v>
      </c>
      <c r="S18" s="23">
        <v>566220.52</v>
      </c>
      <c r="T18" s="23">
        <v>1068077.89</v>
      </c>
      <c r="U18" s="45">
        <v>241763</v>
      </c>
      <c r="V18" s="23">
        <v>307174.6</v>
      </c>
      <c r="W18" s="158">
        <v>0</v>
      </c>
      <c r="X18" s="23">
        <v>81125</v>
      </c>
      <c r="Y18" s="23">
        <v>0</v>
      </c>
      <c r="Z18" s="23"/>
      <c r="AA18" s="23">
        <v>0</v>
      </c>
      <c r="AB18" s="23">
        <v>0</v>
      </c>
      <c r="AC18" s="33">
        <f>SUM(Q18:AB18)</f>
        <v>9412489.08</v>
      </c>
      <c r="AD18" s="47">
        <f>SUM(C18-AC18)</f>
        <v>0</v>
      </c>
    </row>
    <row r="19" spans="1:30" s="53" customFormat="1" ht="16.5" hidden="1" thickBot="1">
      <c r="A19" s="41"/>
      <c r="B19" s="79" t="s">
        <v>115</v>
      </c>
      <c r="C19" s="38">
        <f aca="true" t="shared" si="2" ref="C19:AD19">SUM(C20:C20)</f>
        <v>0</v>
      </c>
      <c r="D19" s="38">
        <f t="shared" si="2"/>
        <v>0</v>
      </c>
      <c r="E19" s="38">
        <f t="shared" si="2"/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38">
        <f t="shared" si="2"/>
        <v>0</v>
      </c>
      <c r="U19" s="38">
        <f t="shared" si="2"/>
        <v>0</v>
      </c>
      <c r="V19" s="38">
        <f t="shared" si="2"/>
        <v>0</v>
      </c>
      <c r="W19" s="38">
        <f t="shared" si="2"/>
        <v>0</v>
      </c>
      <c r="X19" s="38">
        <f t="shared" si="2"/>
        <v>0</v>
      </c>
      <c r="Y19" s="38">
        <f t="shared" si="2"/>
        <v>0</v>
      </c>
      <c r="Z19" s="38">
        <f t="shared" si="2"/>
        <v>0</v>
      </c>
      <c r="AA19" s="38">
        <f t="shared" si="2"/>
        <v>0</v>
      </c>
      <c r="AB19" s="38">
        <f t="shared" si="2"/>
        <v>0</v>
      </c>
      <c r="AC19" s="39">
        <f t="shared" si="2"/>
        <v>0</v>
      </c>
      <c r="AD19" s="99" t="e">
        <f t="shared" si="2"/>
        <v>#REF!</v>
      </c>
    </row>
    <row r="20" spans="1:30" s="12" customFormat="1" ht="15.75" hidden="1" thickBot="1">
      <c r="A20" s="95" t="s">
        <v>67</v>
      </c>
      <c r="B20" s="22" t="s">
        <v>114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f>SUM(D20:O20)</f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5">
        <f>SUM(Q20:AB20)</f>
        <v>0</v>
      </c>
      <c r="AD20" s="47" t="e">
        <f>SUM(C20-#REF!)</f>
        <v>#REF!</v>
      </c>
    </row>
    <row r="21" spans="1:30" s="34" customFormat="1" ht="16.5" thickBot="1">
      <c r="A21" s="96"/>
      <c r="B21" s="79" t="s">
        <v>82</v>
      </c>
      <c r="C21" s="38">
        <f>SUM(C22:C23)</f>
        <v>2744921159.15</v>
      </c>
      <c r="D21" s="38">
        <f aca="true" t="shared" si="3" ref="D21:AD21">SUM(D22:D23)</f>
        <v>0</v>
      </c>
      <c r="E21" s="38">
        <f t="shared" si="3"/>
        <v>332594654.68</v>
      </c>
      <c r="F21" s="38">
        <f t="shared" si="3"/>
        <v>385872484.3</v>
      </c>
      <c r="G21" s="38">
        <f t="shared" si="3"/>
        <v>98490571.2</v>
      </c>
      <c r="H21" s="38">
        <f t="shared" si="3"/>
        <v>1240127730.53</v>
      </c>
      <c r="I21" s="38">
        <f t="shared" si="3"/>
        <v>6180060</v>
      </c>
      <c r="J21" s="38">
        <f t="shared" si="3"/>
        <v>204233776.63</v>
      </c>
      <c r="K21" s="38">
        <f t="shared" si="3"/>
        <v>133583474.8</v>
      </c>
      <c r="L21" s="38">
        <f t="shared" si="3"/>
        <v>261063400</v>
      </c>
      <c r="M21" s="38">
        <f t="shared" si="3"/>
        <v>34964000</v>
      </c>
      <c r="N21" s="38">
        <f t="shared" si="3"/>
        <v>47568000</v>
      </c>
      <c r="O21" s="38">
        <f t="shared" si="3"/>
        <v>243007.01</v>
      </c>
      <c r="P21" s="38">
        <f t="shared" si="3"/>
        <v>2744921159.15</v>
      </c>
      <c r="Q21" s="38">
        <f t="shared" si="3"/>
        <v>0</v>
      </c>
      <c r="R21" s="38">
        <f t="shared" si="3"/>
        <v>332594654.68</v>
      </c>
      <c r="S21" s="38">
        <f t="shared" si="3"/>
        <v>385872484.3</v>
      </c>
      <c r="T21" s="38">
        <f t="shared" si="3"/>
        <v>98490571.2</v>
      </c>
      <c r="U21" s="38">
        <f t="shared" si="3"/>
        <v>1240127730.53</v>
      </c>
      <c r="V21" s="38">
        <f t="shared" si="3"/>
        <v>6180060</v>
      </c>
      <c r="W21" s="38">
        <f t="shared" si="3"/>
        <v>204233776.63</v>
      </c>
      <c r="X21" s="38">
        <f t="shared" si="3"/>
        <v>133583474.8</v>
      </c>
      <c r="Y21" s="38">
        <f t="shared" si="3"/>
        <v>261063400</v>
      </c>
      <c r="Z21" s="38">
        <f t="shared" si="3"/>
        <v>34964000</v>
      </c>
      <c r="AA21" s="38">
        <f t="shared" si="3"/>
        <v>47568000</v>
      </c>
      <c r="AB21" s="38">
        <f t="shared" si="3"/>
        <v>243007.01</v>
      </c>
      <c r="AC21" s="39">
        <f t="shared" si="3"/>
        <v>2744921159.15</v>
      </c>
      <c r="AD21" s="99">
        <f t="shared" si="3"/>
        <v>0</v>
      </c>
    </row>
    <row r="22" spans="1:30" s="12" customFormat="1" ht="15">
      <c r="A22" s="54" t="s">
        <v>107</v>
      </c>
      <c r="B22" s="30" t="s">
        <v>68</v>
      </c>
      <c r="C22" s="31">
        <f>1435604095.39-2509200-67093671.1-4.14</f>
        <v>1366001220.15</v>
      </c>
      <c r="D22" s="31">
        <v>0</v>
      </c>
      <c r="E22" s="31">
        <v>280282723.48</v>
      </c>
      <c r="F22" s="31">
        <v>51688101.83</v>
      </c>
      <c r="G22" s="31">
        <v>6970571.2</v>
      </c>
      <c r="H22" s="31">
        <v>1018460113</v>
      </c>
      <c r="I22" s="31">
        <v>0</v>
      </c>
      <c r="J22" s="31">
        <v>8356703.63</v>
      </c>
      <c r="K22" s="31">
        <v>0</v>
      </c>
      <c r="L22" s="31">
        <v>0</v>
      </c>
      <c r="M22" s="31">
        <v>0</v>
      </c>
      <c r="N22" s="31">
        <v>0</v>
      </c>
      <c r="O22" s="31">
        <v>243007.01</v>
      </c>
      <c r="P22" s="32">
        <f>SUM(D22:O22)</f>
        <v>1366001220.15</v>
      </c>
      <c r="Q22" s="31">
        <v>0</v>
      </c>
      <c r="R22" s="31">
        <v>280282723.48</v>
      </c>
      <c r="S22" s="31">
        <v>51688101.83</v>
      </c>
      <c r="T22" s="31">
        <v>6970571.2</v>
      </c>
      <c r="U22" s="31">
        <v>1018460113</v>
      </c>
      <c r="V22" s="31">
        <v>0</v>
      </c>
      <c r="W22" s="31">
        <v>8356703.63</v>
      </c>
      <c r="X22" s="31">
        <v>0</v>
      </c>
      <c r="Y22" s="31">
        <v>0</v>
      </c>
      <c r="Z22" s="31">
        <v>0</v>
      </c>
      <c r="AA22" s="31">
        <v>0</v>
      </c>
      <c r="AB22" s="31">
        <v>243007.01</v>
      </c>
      <c r="AC22" s="33">
        <f>SUM(Q22:AB22)</f>
        <v>1366001220.15</v>
      </c>
      <c r="AD22" s="47">
        <f>SUM(C22-AC22)</f>
        <v>0</v>
      </c>
    </row>
    <row r="23" spans="1:30" s="12" customFormat="1" ht="30" customHeight="1" thickBot="1">
      <c r="A23" s="54" t="s">
        <v>169</v>
      </c>
      <c r="B23" s="199" t="s">
        <v>155</v>
      </c>
      <c r="C23" s="55">
        <f>1436949939-58030000</f>
        <v>1378919939</v>
      </c>
      <c r="D23" s="55">
        <v>0</v>
      </c>
      <c r="E23" s="55">
        <v>52311931.2</v>
      </c>
      <c r="F23" s="55">
        <v>334184382.47</v>
      </c>
      <c r="G23" s="55">
        <v>91520000</v>
      </c>
      <c r="H23" s="55">
        <v>221667617.53</v>
      </c>
      <c r="I23" s="55">
        <v>6180060</v>
      </c>
      <c r="J23" s="55">
        <v>195877073</v>
      </c>
      <c r="K23" s="55">
        <v>133583474.8</v>
      </c>
      <c r="L23" s="55">
        <v>261063400</v>
      </c>
      <c r="M23" s="55">
        <v>34964000</v>
      </c>
      <c r="N23" s="55">
        <v>47568000</v>
      </c>
      <c r="O23" s="55">
        <v>0</v>
      </c>
      <c r="P23" s="32">
        <f>SUM(D23:O23)</f>
        <v>1378919939</v>
      </c>
      <c r="Q23" s="55">
        <v>0</v>
      </c>
      <c r="R23" s="55">
        <v>52311931.2</v>
      </c>
      <c r="S23" s="55">
        <v>334184382.47</v>
      </c>
      <c r="T23" s="55">
        <v>91520000</v>
      </c>
      <c r="U23" s="55">
        <v>221667617.53</v>
      </c>
      <c r="V23" s="55">
        <v>6180060</v>
      </c>
      <c r="W23" s="55">
        <v>195877073</v>
      </c>
      <c r="X23" s="55">
        <v>133583474.8</v>
      </c>
      <c r="Y23" s="55">
        <v>261063400</v>
      </c>
      <c r="Z23" s="55">
        <v>34964000</v>
      </c>
      <c r="AA23" s="55">
        <v>47568000</v>
      </c>
      <c r="AB23" s="55">
        <v>0</v>
      </c>
      <c r="AC23" s="33">
        <f>SUM(Q23:AB23)</f>
        <v>1378919939</v>
      </c>
      <c r="AD23" s="47">
        <f>SUM(C23-AC23)</f>
        <v>0</v>
      </c>
    </row>
    <row r="24" spans="1:30" s="26" customFormat="1" ht="18.75" thickBot="1">
      <c r="A24" s="294" t="s">
        <v>50</v>
      </c>
      <c r="B24" s="295"/>
      <c r="C24" s="35">
        <f aca="true" t="shared" si="4" ref="C24:AC24">SUM(C14+C21)</f>
        <v>2771758493.33</v>
      </c>
      <c r="D24" s="35">
        <f t="shared" si="4"/>
        <v>0</v>
      </c>
      <c r="E24" s="35">
        <f t="shared" si="4"/>
        <v>356171158.86</v>
      </c>
      <c r="F24" s="35">
        <f t="shared" si="4"/>
        <v>386438704.82</v>
      </c>
      <c r="G24" s="35">
        <f t="shared" si="4"/>
        <v>100555118.08</v>
      </c>
      <c r="H24" s="35">
        <f t="shared" si="4"/>
        <v>1240369493.53</v>
      </c>
      <c r="I24" s="35">
        <f t="shared" si="4"/>
        <v>6487234.6</v>
      </c>
      <c r="J24" s="35">
        <f t="shared" si="4"/>
        <v>204233776.63</v>
      </c>
      <c r="K24" s="35">
        <f t="shared" si="4"/>
        <v>133664599.8</v>
      </c>
      <c r="L24" s="35">
        <f t="shared" si="4"/>
        <v>261063400</v>
      </c>
      <c r="M24" s="35">
        <f t="shared" si="4"/>
        <v>34964000</v>
      </c>
      <c r="N24" s="35">
        <f t="shared" si="4"/>
        <v>47568000</v>
      </c>
      <c r="O24" s="35">
        <f t="shared" si="4"/>
        <v>243007.01</v>
      </c>
      <c r="P24" s="35">
        <f t="shared" si="4"/>
        <v>2771758493.33</v>
      </c>
      <c r="Q24" s="35">
        <f t="shared" si="4"/>
        <v>0</v>
      </c>
      <c r="R24" s="35">
        <f t="shared" si="4"/>
        <v>356171158.86</v>
      </c>
      <c r="S24" s="35">
        <f t="shared" si="4"/>
        <v>386438704.82</v>
      </c>
      <c r="T24" s="35">
        <f t="shared" si="4"/>
        <v>100555118.08</v>
      </c>
      <c r="U24" s="35">
        <f t="shared" si="4"/>
        <v>1240369493.53</v>
      </c>
      <c r="V24" s="35">
        <f t="shared" si="4"/>
        <v>6487234.6</v>
      </c>
      <c r="W24" s="35">
        <f t="shared" si="4"/>
        <v>204233776.63</v>
      </c>
      <c r="X24" s="35">
        <f t="shared" si="4"/>
        <v>133664599.8</v>
      </c>
      <c r="Y24" s="35">
        <f t="shared" si="4"/>
        <v>261063400</v>
      </c>
      <c r="Z24" s="35">
        <f t="shared" si="4"/>
        <v>34964000</v>
      </c>
      <c r="AA24" s="35">
        <f t="shared" si="4"/>
        <v>47568000</v>
      </c>
      <c r="AB24" s="35">
        <f t="shared" si="4"/>
        <v>243007.01</v>
      </c>
      <c r="AC24" s="88">
        <f t="shared" si="4"/>
        <v>2771758493.33</v>
      </c>
      <c r="AD24" s="100">
        <f>SUM(AD14,AD21)</f>
        <v>0</v>
      </c>
    </row>
    <row r="25" spans="1:29" ht="12.75">
      <c r="A25" s="91" t="s">
        <v>276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</row>
    <row r="26" spans="1:29" ht="12.75">
      <c r="A26" s="4" t="s">
        <v>295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30" ht="15">
      <c r="A28" s="5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47"/>
    </row>
    <row r="29" spans="1:29" ht="12.75">
      <c r="A29" s="69">
        <f ca="1">TODAY()</f>
        <v>39108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3.5" thickBot="1">
      <c r="A32" s="4"/>
      <c r="B32" s="84" t="s">
        <v>116</v>
      </c>
      <c r="C32" s="2"/>
      <c r="D32" s="8" t="s">
        <v>125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85" t="s">
        <v>177</v>
      </c>
      <c r="C33" s="3"/>
      <c r="D33" s="253" t="s">
        <v>136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96"/>
    </row>
    <row r="34" spans="1:29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</row>
  </sheetData>
  <mergeCells count="10">
    <mergeCell ref="Q33:AC33"/>
    <mergeCell ref="A1:AC1"/>
    <mergeCell ref="A2:AC2"/>
    <mergeCell ref="A3:AC3"/>
    <mergeCell ref="A4:AC4"/>
    <mergeCell ref="A5:AC5"/>
    <mergeCell ref="A7:B7"/>
    <mergeCell ref="A8:B8"/>
    <mergeCell ref="A24:B24"/>
    <mergeCell ref="D33:P33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Footer>&amp;CHACIENDA2006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5">
      <selection activeCell="I13" sqref="I1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9.7109375" style="1" hidden="1" customWidth="1"/>
    <col min="5" max="5" width="20.00390625" style="1" hidden="1" customWidth="1"/>
    <col min="6" max="6" width="19.57421875" style="1" hidden="1" customWidth="1"/>
    <col min="7" max="7" width="20.421875" style="1" hidden="1" customWidth="1"/>
    <col min="8" max="8" width="21.8515625" style="1" hidden="1" customWidth="1"/>
    <col min="9" max="9" width="21.8515625" style="1" customWidth="1"/>
    <col min="10" max="10" width="20.57421875" style="1" hidden="1" customWidth="1"/>
    <col min="11" max="11" width="22.421875" style="1" hidden="1" customWidth="1"/>
    <col min="12" max="12" width="17.57421875" style="1" hidden="1" customWidth="1"/>
    <col min="13" max="13" width="18.421875" style="1" hidden="1" customWidth="1"/>
    <col min="14" max="14" width="24.00390625" style="1" hidden="1" customWidth="1"/>
    <col min="15" max="15" width="23.00390625" style="1" hidden="1" customWidth="1"/>
    <col min="16" max="16" width="21.28125" style="1" customWidth="1"/>
    <col min="17" max="17" width="20.8515625" style="1" bestFit="1" customWidth="1"/>
    <col min="18" max="16384" width="11.421875" style="1" customWidth="1"/>
  </cols>
  <sheetData>
    <row r="1" spans="1:16" ht="18">
      <c r="A1" s="256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7"/>
    </row>
    <row r="2" spans="1:16" ht="15.7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</row>
    <row r="3" spans="1:16" ht="18">
      <c r="A3" s="261" t="s">
        <v>51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</row>
    <row r="4" spans="1:16" ht="15.75">
      <c r="A4" s="258" t="s">
        <v>56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</row>
    <row r="5" spans="1:16" ht="20.25">
      <c r="A5" s="264" t="s">
        <v>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</row>
    <row r="6" spans="1:17" ht="15">
      <c r="A6" s="57"/>
      <c r="B6" s="58"/>
      <c r="C6" s="58"/>
      <c r="D6" s="58"/>
      <c r="E6" s="58"/>
      <c r="F6" s="58"/>
      <c r="G6" s="58"/>
      <c r="H6" s="64"/>
      <c r="I6" s="58"/>
      <c r="J6" s="58"/>
      <c r="K6" s="58"/>
      <c r="L6" s="58"/>
      <c r="M6" s="58"/>
      <c r="N6" s="58"/>
      <c r="O6" s="58"/>
      <c r="P6" s="59"/>
      <c r="Q6" s="42"/>
    </row>
    <row r="7" spans="1:17" ht="15.75">
      <c r="A7" s="292" t="s">
        <v>4</v>
      </c>
      <c r="B7" s="293"/>
      <c r="C7" s="74" t="s">
        <v>48</v>
      </c>
      <c r="D7" s="77"/>
      <c r="E7" s="77"/>
      <c r="F7" s="77"/>
      <c r="G7" s="77"/>
      <c r="H7" s="64"/>
      <c r="I7" s="77"/>
      <c r="J7" s="77"/>
      <c r="K7" s="77"/>
      <c r="L7" s="77"/>
      <c r="M7" s="77"/>
      <c r="N7" s="77"/>
      <c r="O7" s="77"/>
      <c r="P7" s="80" t="s">
        <v>291</v>
      </c>
      <c r="Q7" s="5"/>
    </row>
    <row r="8" spans="1:17" ht="15.75">
      <c r="A8" s="292" t="s">
        <v>5</v>
      </c>
      <c r="B8" s="293"/>
      <c r="C8" s="73" t="s">
        <v>57</v>
      </c>
      <c r="D8" s="77"/>
      <c r="E8" s="77"/>
      <c r="F8" s="77"/>
      <c r="G8" s="77"/>
      <c r="H8" s="64"/>
      <c r="I8" s="77"/>
      <c r="J8" s="77"/>
      <c r="K8" s="77"/>
      <c r="L8" s="77"/>
      <c r="M8" s="77"/>
      <c r="N8" s="77"/>
      <c r="O8" s="77"/>
      <c r="P8" s="76">
        <v>2006</v>
      </c>
      <c r="Q8" s="46"/>
    </row>
    <row r="9" spans="1:16" ht="13.5" thickBo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6" ht="12.75">
      <c r="A10" s="177"/>
      <c r="B10" s="178"/>
      <c r="C10" s="178" t="s">
        <v>131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ht="12.75">
      <c r="A11" s="179" t="s">
        <v>40</v>
      </c>
      <c r="B11" s="179" t="s">
        <v>42</v>
      </c>
      <c r="C11" s="179" t="s">
        <v>55</v>
      </c>
      <c r="D11" s="179" t="s">
        <v>46</v>
      </c>
      <c r="E11" s="179" t="s">
        <v>46</v>
      </c>
      <c r="F11" s="179" t="s">
        <v>46</v>
      </c>
      <c r="G11" s="179" t="s">
        <v>46</v>
      </c>
      <c r="H11" s="179" t="s">
        <v>46</v>
      </c>
      <c r="I11" s="179" t="s">
        <v>46</v>
      </c>
      <c r="J11" s="179" t="s">
        <v>46</v>
      </c>
      <c r="K11" s="179" t="s">
        <v>46</v>
      </c>
      <c r="L11" s="179" t="s">
        <v>46</v>
      </c>
      <c r="M11" s="179" t="s">
        <v>46</v>
      </c>
      <c r="N11" s="179" t="s">
        <v>46</v>
      </c>
      <c r="O11" s="179" t="s">
        <v>46</v>
      </c>
      <c r="P11" s="179" t="s">
        <v>46</v>
      </c>
    </row>
    <row r="12" spans="1:17" ht="13.5" thickBot="1">
      <c r="A12" s="180" t="s">
        <v>41</v>
      </c>
      <c r="B12" s="180"/>
      <c r="C12" s="180" t="s">
        <v>130</v>
      </c>
      <c r="D12" s="180" t="s">
        <v>13</v>
      </c>
      <c r="E12" s="180" t="s">
        <v>14</v>
      </c>
      <c r="F12" s="180" t="s">
        <v>15</v>
      </c>
      <c r="G12" s="180" t="s">
        <v>28</v>
      </c>
      <c r="H12" s="180" t="s">
        <v>28</v>
      </c>
      <c r="I12" s="180" t="s">
        <v>24</v>
      </c>
      <c r="J12" s="180" t="s">
        <v>30</v>
      </c>
      <c r="K12" s="180" t="s">
        <v>20</v>
      </c>
      <c r="L12" s="180" t="s">
        <v>154</v>
      </c>
      <c r="M12" s="180" t="s">
        <v>31</v>
      </c>
      <c r="N12" s="180" t="s">
        <v>23</v>
      </c>
      <c r="O12" s="180" t="s">
        <v>24</v>
      </c>
      <c r="P12" s="180" t="s">
        <v>25</v>
      </c>
      <c r="Q12" s="104" t="s">
        <v>126</v>
      </c>
    </row>
    <row r="13" spans="1:16" ht="13.5" thickBot="1">
      <c r="A13" s="181">
        <v>1</v>
      </c>
      <c r="B13" s="182">
        <v>2</v>
      </c>
      <c r="C13" s="182"/>
      <c r="D13" s="182"/>
      <c r="E13" s="182"/>
      <c r="F13" s="182">
        <v>7</v>
      </c>
      <c r="G13" s="182">
        <v>7</v>
      </c>
      <c r="H13" s="182">
        <v>7</v>
      </c>
      <c r="I13" s="182">
        <v>7</v>
      </c>
      <c r="J13" s="182">
        <v>7</v>
      </c>
      <c r="K13" s="182">
        <v>7</v>
      </c>
      <c r="L13" s="182">
        <v>7</v>
      </c>
      <c r="M13" s="182">
        <v>7</v>
      </c>
      <c r="N13" s="182">
        <v>7</v>
      </c>
      <c r="O13" s="182">
        <v>7</v>
      </c>
      <c r="P13" s="183">
        <v>8</v>
      </c>
    </row>
    <row r="14" spans="1:17" s="34" customFormat="1" ht="16.5" thickBot="1">
      <c r="A14" s="36"/>
      <c r="B14" s="78" t="s">
        <v>81</v>
      </c>
      <c r="C14" s="37">
        <f aca="true" t="shared" si="0" ref="C14:O14">C15</f>
        <v>1964087.05</v>
      </c>
      <c r="D14" s="37">
        <f t="shared" si="0"/>
        <v>0</v>
      </c>
      <c r="E14" s="37">
        <f t="shared" si="0"/>
        <v>1964087.05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206">
        <f>P15</f>
        <v>1964087.05</v>
      </c>
      <c r="Q14" s="202">
        <f>Q15</f>
        <v>0</v>
      </c>
    </row>
    <row r="15" spans="1:17" s="12" customFormat="1" ht="16.5" thickBot="1">
      <c r="A15" s="82"/>
      <c r="B15" s="79" t="s">
        <v>85</v>
      </c>
      <c r="C15" s="49">
        <f aca="true" t="shared" si="1" ref="C15:Q15">SUM(C16:C18)</f>
        <v>1964087.05</v>
      </c>
      <c r="D15" s="49">
        <f t="shared" si="1"/>
        <v>0</v>
      </c>
      <c r="E15" s="49">
        <f t="shared" si="1"/>
        <v>1964087.05</v>
      </c>
      <c r="F15" s="49">
        <f t="shared" si="1"/>
        <v>0</v>
      </c>
      <c r="G15" s="49">
        <f t="shared" si="1"/>
        <v>0</v>
      </c>
      <c r="H15" s="49">
        <f t="shared" si="1"/>
        <v>0</v>
      </c>
      <c r="I15" s="49">
        <f t="shared" si="1"/>
        <v>0</v>
      </c>
      <c r="J15" s="108">
        <f t="shared" si="1"/>
        <v>0</v>
      </c>
      <c r="K15" s="49">
        <f t="shared" si="1"/>
        <v>0</v>
      </c>
      <c r="L15" s="49">
        <f t="shared" si="1"/>
        <v>0</v>
      </c>
      <c r="M15" s="49">
        <f t="shared" si="1"/>
        <v>0</v>
      </c>
      <c r="N15" s="49">
        <f t="shared" si="1"/>
        <v>0</v>
      </c>
      <c r="O15" s="49">
        <f t="shared" si="1"/>
        <v>0</v>
      </c>
      <c r="P15" s="50">
        <f t="shared" si="1"/>
        <v>1964087.05</v>
      </c>
      <c r="Q15" s="98">
        <f t="shared" si="1"/>
        <v>0</v>
      </c>
    </row>
    <row r="16" spans="1:17" s="12" customFormat="1" ht="15" hidden="1">
      <c r="A16" s="51" t="s">
        <v>60</v>
      </c>
      <c r="B16" s="30" t="s">
        <v>61</v>
      </c>
      <c r="C16" s="31"/>
      <c r="D16" s="31"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>
        <f>SUM(D16:O16)</f>
        <v>0</v>
      </c>
      <c r="Q16" s="47">
        <f>SUM(C16-P16)</f>
        <v>0</v>
      </c>
    </row>
    <row r="17" spans="1:17" s="12" customFormat="1" ht="15" hidden="1">
      <c r="A17" s="51" t="s">
        <v>150</v>
      </c>
      <c r="B17" s="30" t="s">
        <v>61</v>
      </c>
      <c r="C17" s="31"/>
      <c r="D17" s="31"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3">
        <f>SUM(D17:O17)</f>
        <v>0</v>
      </c>
      <c r="Q17" s="47">
        <f>SUM(C17-P17)</f>
        <v>0</v>
      </c>
    </row>
    <row r="18" spans="1:17" s="12" customFormat="1" ht="15.75" thickBot="1">
      <c r="A18" s="51" t="s">
        <v>63</v>
      </c>
      <c r="B18" s="22" t="s">
        <v>62</v>
      </c>
      <c r="C18" s="23">
        <v>1964087.05</v>
      </c>
      <c r="D18" s="23">
        <v>0</v>
      </c>
      <c r="E18" s="23">
        <v>1964087.05</v>
      </c>
      <c r="F18" s="23">
        <v>0</v>
      </c>
      <c r="G18" s="23">
        <v>0</v>
      </c>
      <c r="H18" s="45">
        <v>0</v>
      </c>
      <c r="I18" s="23">
        <v>0</v>
      </c>
      <c r="J18" s="158"/>
      <c r="K18" s="23"/>
      <c r="L18" s="23"/>
      <c r="M18" s="23"/>
      <c r="N18" s="23"/>
      <c r="O18" s="23"/>
      <c r="P18" s="33">
        <f>SUM(D18:O18)</f>
        <v>1964087.05</v>
      </c>
      <c r="Q18" s="47">
        <f>SUM(C18-P18)</f>
        <v>0</v>
      </c>
    </row>
    <row r="19" spans="1:17" s="53" customFormat="1" ht="16.5" hidden="1" thickBot="1">
      <c r="A19" s="41"/>
      <c r="B19" s="79" t="s">
        <v>115</v>
      </c>
      <c r="C19" s="38">
        <f aca="true" t="shared" si="2" ref="C19:Q19">SUM(C20:C20)</f>
        <v>0</v>
      </c>
      <c r="D19" s="38">
        <f t="shared" si="2"/>
        <v>0</v>
      </c>
      <c r="E19" s="38">
        <f t="shared" si="2"/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9">
        <f t="shared" si="2"/>
        <v>0</v>
      </c>
      <c r="Q19" s="99" t="e">
        <f t="shared" si="2"/>
        <v>#REF!</v>
      </c>
    </row>
    <row r="20" spans="1:17" s="12" customFormat="1" ht="15.75" hidden="1" thickBot="1">
      <c r="A20" s="95" t="s">
        <v>67</v>
      </c>
      <c r="B20" s="22" t="s">
        <v>114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5">
        <f>SUM(D20:O20)</f>
        <v>0</v>
      </c>
      <c r="Q20" s="47" t="e">
        <f>SUM(C20-#REF!)</f>
        <v>#REF!</v>
      </c>
    </row>
    <row r="21" spans="1:17" s="34" customFormat="1" ht="16.5" thickBot="1">
      <c r="A21" s="96"/>
      <c r="B21" s="79" t="s">
        <v>82</v>
      </c>
      <c r="C21" s="38">
        <f aca="true" t="shared" si="3" ref="C21:Q21">SUM(C22:C23)</f>
        <v>1350968130.09</v>
      </c>
      <c r="D21" s="38">
        <f t="shared" si="3"/>
        <v>0</v>
      </c>
      <c r="E21" s="38">
        <f t="shared" si="3"/>
        <v>416419431.90999997</v>
      </c>
      <c r="F21" s="38">
        <f t="shared" si="3"/>
        <v>934548698.18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 t="shared" si="3"/>
        <v>0</v>
      </c>
      <c r="P21" s="39">
        <f t="shared" si="3"/>
        <v>1350968130.09</v>
      </c>
      <c r="Q21" s="99">
        <f t="shared" si="3"/>
        <v>0</v>
      </c>
    </row>
    <row r="22" spans="1:17" s="12" customFormat="1" ht="15">
      <c r="A22" s="54" t="s">
        <v>107</v>
      </c>
      <c r="B22" s="30" t="s">
        <v>68</v>
      </c>
      <c r="C22" s="31">
        <v>16773621.01</v>
      </c>
      <c r="D22" s="31">
        <v>0</v>
      </c>
      <c r="E22" s="31">
        <v>16300186.83</v>
      </c>
      <c r="F22" s="31">
        <v>473434.18</v>
      </c>
      <c r="G22" s="31">
        <v>0</v>
      </c>
      <c r="H22" s="31">
        <v>0</v>
      </c>
      <c r="I22" s="31">
        <v>0</v>
      </c>
      <c r="J22" s="31"/>
      <c r="K22" s="31"/>
      <c r="L22" s="31"/>
      <c r="M22" s="31"/>
      <c r="N22" s="31"/>
      <c r="O22" s="31"/>
      <c r="P22" s="33">
        <f>SUM(D22:O22)</f>
        <v>16773621.01</v>
      </c>
      <c r="Q22" s="47">
        <f>SUM(C22-P22)</f>
        <v>0</v>
      </c>
    </row>
    <row r="23" spans="1:17" s="12" customFormat="1" ht="30" customHeight="1" thickBot="1">
      <c r="A23" s="54" t="s">
        <v>169</v>
      </c>
      <c r="B23" s="199" t="s">
        <v>155</v>
      </c>
      <c r="C23" s="55">
        <v>1334194509.08</v>
      </c>
      <c r="D23" s="55">
        <v>0</v>
      </c>
      <c r="E23" s="55">
        <v>400119245.08</v>
      </c>
      <c r="F23" s="55">
        <v>934075264</v>
      </c>
      <c r="G23" s="55">
        <v>0</v>
      </c>
      <c r="H23" s="55">
        <v>0</v>
      </c>
      <c r="I23" s="55">
        <v>0</v>
      </c>
      <c r="J23" s="55"/>
      <c r="K23" s="55"/>
      <c r="L23" s="55"/>
      <c r="M23" s="55"/>
      <c r="N23" s="55"/>
      <c r="O23" s="55"/>
      <c r="P23" s="33">
        <f>SUM(D23:O23)</f>
        <v>1334194509.08</v>
      </c>
      <c r="Q23" s="47">
        <f>SUM(C23-P23)</f>
        <v>0</v>
      </c>
    </row>
    <row r="24" spans="1:17" s="26" customFormat="1" ht="18.75" thickBot="1">
      <c r="A24" s="294" t="s">
        <v>50</v>
      </c>
      <c r="B24" s="295"/>
      <c r="C24" s="35">
        <f aca="true" t="shared" si="4" ref="C24:P24">SUM(C14+C21)</f>
        <v>1352932217.1399999</v>
      </c>
      <c r="D24" s="35">
        <f t="shared" si="4"/>
        <v>0</v>
      </c>
      <c r="E24" s="35">
        <f t="shared" si="4"/>
        <v>418383518.96</v>
      </c>
      <c r="F24" s="35">
        <f t="shared" si="4"/>
        <v>934548698.18</v>
      </c>
      <c r="G24" s="35">
        <f t="shared" si="4"/>
        <v>0</v>
      </c>
      <c r="H24" s="35">
        <f t="shared" si="4"/>
        <v>0</v>
      </c>
      <c r="I24" s="35">
        <f t="shared" si="4"/>
        <v>0</v>
      </c>
      <c r="J24" s="35">
        <f t="shared" si="4"/>
        <v>0</v>
      </c>
      <c r="K24" s="35">
        <f t="shared" si="4"/>
        <v>0</v>
      </c>
      <c r="L24" s="35">
        <f t="shared" si="4"/>
        <v>0</v>
      </c>
      <c r="M24" s="35">
        <f t="shared" si="4"/>
        <v>0</v>
      </c>
      <c r="N24" s="35">
        <f t="shared" si="4"/>
        <v>0</v>
      </c>
      <c r="O24" s="35">
        <f t="shared" si="4"/>
        <v>0</v>
      </c>
      <c r="P24" s="88">
        <f t="shared" si="4"/>
        <v>1352932217.1399999</v>
      </c>
      <c r="Q24" s="100">
        <f>SUM(Q14,Q21)</f>
        <v>0</v>
      </c>
    </row>
    <row r="25" spans="1:16" ht="12.75">
      <c r="A25" s="91" t="s">
        <v>277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7" ht="15">
      <c r="A28" s="5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7"/>
    </row>
    <row r="29" spans="1:16" ht="12.75">
      <c r="A29" s="69">
        <f ca="1">TODAY()</f>
        <v>39108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3.5" thickBot="1">
      <c r="A32" s="4"/>
      <c r="B32" s="84" t="s">
        <v>116</v>
      </c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85" t="s">
        <v>177</v>
      </c>
      <c r="C33" s="3"/>
      <c r="D33" s="267" t="s">
        <v>282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97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</sheetData>
  <mergeCells count="9">
    <mergeCell ref="D33:P33"/>
    <mergeCell ref="A1:P1"/>
    <mergeCell ref="A2:P2"/>
    <mergeCell ref="A3:P3"/>
    <mergeCell ref="A4:P4"/>
    <mergeCell ref="A5:P5"/>
    <mergeCell ref="A7:B7"/>
    <mergeCell ref="A8:B8"/>
    <mergeCell ref="A24:B2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Footer>&amp;CHACIENDA2006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olardilag</cp:lastModifiedBy>
  <cp:lastPrinted>2007-01-26T18:25:33Z</cp:lastPrinted>
  <dcterms:created xsi:type="dcterms:W3CDTF">1999-04-05T19:37:02Z</dcterms:created>
  <dcterms:modified xsi:type="dcterms:W3CDTF">2007-01-26T20:46:49Z</dcterms:modified>
  <cp:category/>
  <cp:version/>
  <cp:contentType/>
  <cp:contentStatus/>
</cp:coreProperties>
</file>